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66925"/>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Livestock/Swine/2023/"/>
    </mc:Choice>
  </mc:AlternateContent>
  <xr:revisionPtr revIDLastSave="5" documentId="14_{E103635C-D0D6-4610-AC46-652BB44391EE}" xr6:coauthVersionLast="47" xr6:coauthVersionMax="47" xr10:uidLastSave="{9E8E23EE-FC15-4B62-AFAD-581F00F5E7F4}"/>
  <bookViews>
    <workbookView xWindow="-103" yWindow="-103" windowWidth="22149" windowHeight="11949" xr2:uid="{00000000-000D-0000-FFFF-FFFF00000000}"/>
  </bookViews>
  <sheets>
    <sheet name="MKTHOG" sheetId="1" r:id="rId1"/>
  </sheets>
  <definedNames>
    <definedName name="_Key1" hidden="1">MKTHOG!$HW$39:$HW$42</definedName>
    <definedName name="_Order1" hidden="1">255</definedName>
    <definedName name="_Parse_In" hidden="1">MKTHOG!$H$122:$H$124</definedName>
    <definedName name="_Parse_Out" hidden="1">MKTHOG!$H$126</definedName>
    <definedName name="_Regression_Int" localSheetId="0" hidden="1">1</definedName>
    <definedName name="_Sort" hidden="1">MKTHOG!$HV$39:$IB$42</definedName>
    <definedName name="_Table2_In1" hidden="1">MKTHOG!$BA$49</definedName>
    <definedName name="_Table2_In2" hidden="1">MKTHOG!$BA$50</definedName>
    <definedName name="_Table2_Out" hidden="1">MKTHOG!$BB$8:$BJ$47</definedName>
    <definedName name="_xlnm.Print_Area" localSheetId="0">MKTHOG!$A$2:$AB$163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4" i="1" l="1"/>
  <c r="G90" i="1"/>
  <c r="G87" i="1"/>
  <c r="G86" i="1"/>
  <c r="G102" i="1"/>
  <c r="G100" i="1"/>
  <c r="G114" i="1"/>
  <c r="G112" i="1"/>
  <c r="G111" i="1"/>
  <c r="D109" i="1"/>
  <c r="D96" i="1"/>
  <c r="E101" i="1"/>
  <c r="D101" i="1"/>
  <c r="A44" i="1"/>
  <c r="G48" i="1"/>
  <c r="E141" i="1" s="1"/>
  <c r="G110" i="1"/>
  <c r="G97" i="1"/>
  <c r="G84" i="1"/>
  <c r="D84" i="1"/>
  <c r="G78" i="1"/>
  <c r="G69" i="1"/>
  <c r="D69" i="1"/>
  <c r="E66" i="1"/>
  <c r="G45" i="1" s="1"/>
  <c r="D48" i="1"/>
  <c r="E105" i="1"/>
  <c r="E80" i="1"/>
  <c r="D25" i="1"/>
  <c r="F3" i="1" s="1"/>
  <c r="D9" i="1"/>
  <c r="H7" i="1" s="1"/>
  <c r="I139" i="1"/>
  <c r="I140" i="1"/>
  <c r="I142" i="1"/>
  <c r="I143" i="1"/>
  <c r="H37" i="1"/>
  <c r="H38" i="1"/>
  <c r="G89" i="1"/>
  <c r="H14" i="1"/>
  <c r="O14" i="1" s="1"/>
  <c r="E19" i="1"/>
  <c r="E18" i="1"/>
  <c r="E17" i="1"/>
  <c r="E16" i="1"/>
  <c r="E15" i="1"/>
  <c r="E14" i="1"/>
  <c r="H6" i="1"/>
  <c r="D73" i="1"/>
  <c r="D72" i="1"/>
  <c r="E118" i="1" l="1"/>
  <c r="I14" i="1"/>
  <c r="D80" i="1"/>
  <c r="H16" i="1"/>
  <c r="O16" i="1" s="1"/>
  <c r="I145" i="1"/>
  <c r="G36" i="1"/>
  <c r="H15" i="1"/>
  <c r="O15" i="1" s="1"/>
  <c r="P16" i="1"/>
  <c r="I141" i="1"/>
  <c r="H17" i="1"/>
  <c r="H19" i="1"/>
  <c r="O19" i="1" s="1"/>
  <c r="G44" i="1"/>
  <c r="K16" i="1"/>
  <c r="H8" i="1"/>
  <c r="E39" i="1"/>
  <c r="H18" i="1"/>
  <c r="O18" i="1" s="1"/>
  <c r="C140" i="1"/>
  <c r="E136" i="1"/>
  <c r="G152" i="1"/>
  <c r="G50" i="1"/>
  <c r="H89" i="1" l="1"/>
  <c r="K21" i="1" s="1"/>
  <c r="G92" i="1"/>
  <c r="H92" i="1" s="1"/>
  <c r="H94" i="1"/>
  <c r="O17" i="1"/>
  <c r="H21" i="1"/>
  <c r="H90" i="1"/>
  <c r="H86" i="1"/>
  <c r="G101" i="1"/>
  <c r="H101" i="1" s="1"/>
  <c r="G88" i="1"/>
  <c r="H88" i="1" s="1"/>
  <c r="G99" i="1"/>
  <c r="H99" i="1" s="1"/>
  <c r="H110" i="1"/>
  <c r="H84" i="1"/>
  <c r="H78" i="1"/>
  <c r="G57" i="1"/>
  <c r="H57" i="1" s="1"/>
  <c r="G59" i="1"/>
  <c r="H59" i="1" s="1"/>
  <c r="G62" i="1"/>
  <c r="H62" i="1" s="1"/>
  <c r="G37" i="1"/>
  <c r="H66" i="1"/>
  <c r="G51" i="1"/>
  <c r="H51" i="1" s="1"/>
  <c r="G53" i="1"/>
  <c r="H53" i="1" s="1"/>
  <c r="G55" i="1"/>
  <c r="H55" i="1" s="1"/>
  <c r="G93" i="1"/>
  <c r="H93" i="1" s="1"/>
  <c r="G91" i="1"/>
  <c r="H91" i="1" s="1"/>
  <c r="G98" i="1"/>
  <c r="H98" i="1" s="1"/>
  <c r="G113" i="1"/>
  <c r="H97" i="1"/>
  <c r="H69" i="1"/>
  <c r="H87" i="1"/>
  <c r="K19" i="1" s="1"/>
  <c r="H102" i="1"/>
  <c r="H100" i="1"/>
  <c r="H111" i="1"/>
  <c r="G52" i="1"/>
  <c r="H52" i="1" s="1"/>
  <c r="G54" i="1"/>
  <c r="H54" i="1" s="1"/>
  <c r="G56" i="1"/>
  <c r="H56" i="1" s="1"/>
  <c r="H48" i="1"/>
  <c r="C152" i="1" s="1"/>
  <c r="G38" i="1"/>
  <c r="G58" i="1"/>
  <c r="H58" i="1" s="1"/>
  <c r="G61" i="1"/>
  <c r="H61" i="1" s="1"/>
  <c r="G63" i="1"/>
  <c r="H63" i="1" s="1"/>
  <c r="H39" i="1"/>
  <c r="E41" i="1"/>
  <c r="H112" i="1"/>
  <c r="E109" i="1"/>
  <c r="E69" i="1"/>
  <c r="G71" i="1"/>
  <c r="G73" i="1"/>
  <c r="H73" i="1" s="1"/>
  <c r="E96" i="1"/>
  <c r="E84" i="1"/>
  <c r="E48" i="1"/>
  <c r="G81" i="1"/>
  <c r="H81" i="1" s="1"/>
  <c r="D66" i="1"/>
  <c r="G72" i="1"/>
  <c r="H72" i="1" s="1"/>
  <c r="G80" i="1"/>
  <c r="H80" i="1" s="1"/>
  <c r="K17" i="1" s="1"/>
  <c r="H114" i="1"/>
  <c r="G116" i="1" l="1"/>
  <c r="H113" i="1"/>
  <c r="G39" i="1"/>
  <c r="H41" i="1"/>
  <c r="F119" i="1" s="1"/>
  <c r="P19" i="1"/>
  <c r="O20" i="1"/>
  <c r="G41" i="1"/>
  <c r="K20" i="1"/>
  <c r="K22" i="1"/>
  <c r="H71" i="1"/>
  <c r="H116" i="1"/>
  <c r="I144" i="1"/>
  <c r="I146" i="1" s="1"/>
  <c r="H75" i="1"/>
  <c r="K18" i="1"/>
  <c r="F123" i="1" l="1"/>
  <c r="K10" i="1"/>
  <c r="G75" i="1"/>
  <c r="J102" i="1"/>
  <c r="H105" i="1" s="1"/>
  <c r="G105" i="1" s="1"/>
  <c r="E119" i="1"/>
  <c r="K11" i="1"/>
  <c r="K12" i="1"/>
  <c r="G138" i="1"/>
  <c r="H138" i="1" s="1"/>
  <c r="I147" i="1"/>
  <c r="G107" i="1" l="1"/>
  <c r="H107" i="1"/>
  <c r="G130" i="1"/>
  <c r="E123" i="1"/>
  <c r="F120" i="1" l="1"/>
  <c r="K9" i="1"/>
  <c r="E120" i="1" l="1"/>
  <c r="E122" i="1" s="1"/>
  <c r="E125" i="1" s="1"/>
  <c r="G129" i="1"/>
  <c r="G132" i="1" s="1"/>
  <c r="F122" i="1"/>
  <c r="F125" i="1" s="1"/>
  <c r="I149" i="1" l="1"/>
  <c r="H3" i="1"/>
  <c r="C143" i="1"/>
  <c r="C147" i="1"/>
  <c r="C144" i="1"/>
  <c r="C145" i="1"/>
  <c r="J139" i="1"/>
  <c r="C146" i="1"/>
  <c r="F152" i="1"/>
  <c r="K139" i="1" l="1"/>
  <c r="J141" i="1"/>
  <c r="J140" i="1"/>
  <c r="I151" i="1"/>
  <c r="I150" i="1"/>
  <c r="I152" i="1" l="1"/>
  <c r="G135" i="1" s="1"/>
  <c r="J142" i="1"/>
  <c r="G136" i="1" s="1"/>
  <c r="K141" i="1"/>
  <c r="K140" i="1"/>
  <c r="K142" i="1" l="1"/>
  <c r="F1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E27" authorId="0" shapeId="0" xr:uid="{00000000-0006-0000-0000-000001000000}">
      <text>
        <r>
          <rPr>
            <b/>
            <sz val="8"/>
            <color indexed="81"/>
            <rFont val="Tahoma"/>
            <family val="2"/>
          </rPr>
          <t xml:space="preserve">L'estimation optimiste est ce à quoi on  peut raisonnablement s'attendre au moins 1 année sur 6. </t>
        </r>
        <r>
          <rPr>
            <sz val="8"/>
            <color indexed="81"/>
            <rFont val="Tahoma"/>
            <family val="2"/>
          </rPr>
          <t xml:space="preserve">
</t>
        </r>
      </text>
    </comment>
    <comment ref="F27" authorId="0" shapeId="0" xr:uid="{00000000-0006-0000-0000-000002000000}">
      <text>
        <r>
          <rPr>
            <b/>
            <sz val="8"/>
            <color indexed="81"/>
            <rFont val="Tahoma"/>
            <family val="2"/>
          </rPr>
          <t>Le résultat anticipé est le résultat le plus probable pour l'année en cours.</t>
        </r>
        <r>
          <rPr>
            <sz val="8"/>
            <color indexed="81"/>
            <rFont val="Tahoma"/>
            <family val="2"/>
          </rPr>
          <t xml:space="preserve">
</t>
        </r>
      </text>
    </comment>
    <comment ref="G27" authorId="0" shapeId="0" xr:uid="{00000000-0006-0000-0000-000003000000}">
      <text>
        <r>
          <rPr>
            <b/>
            <sz val="8"/>
            <color indexed="81"/>
            <rFont val="Tahoma"/>
            <family val="2"/>
          </rPr>
          <t xml:space="preserve">L'estimation pessimiste doit correspondre au plus faible résultat auquel on peut raisonnablement s'attendre 1 année sur 6.  </t>
        </r>
        <r>
          <rPr>
            <sz val="8"/>
            <color indexed="81"/>
            <rFont val="Tahoma"/>
            <family val="2"/>
          </rPr>
          <t xml:space="preserve">
</t>
        </r>
      </text>
    </comment>
    <comment ref="D49" authorId="0" shapeId="0" xr:uid="{00000000-0006-0000-0000-000004000000}">
      <text>
        <r>
          <rPr>
            <b/>
            <sz val="8"/>
            <color indexed="81"/>
            <rFont val="Tahoma"/>
            <family val="2"/>
          </rPr>
          <t xml:space="preserve">Si un nombre est inscrit dans la colonne $/porc,  les nombres entrés dans la colonne  $/an seront ignorés par la calculatrice.
</t>
        </r>
      </text>
    </comment>
    <comment ref="E49" authorId="0" shapeId="0" xr:uid="{00000000-0006-0000-0000-000005000000}">
      <text>
        <r>
          <rPr>
            <b/>
            <sz val="8"/>
            <color indexed="81"/>
            <rFont val="Tahoma"/>
            <family val="2"/>
          </rPr>
          <t xml:space="preserve">Si un nombre est inscrit dans la colonne $/porc,  les nombres entrés dans la colonne  $/an seront ignorés par la calculatrice.
</t>
        </r>
      </text>
    </comment>
    <comment ref="D85" authorId="0" shapeId="0" xr:uid="{00000000-0006-0000-0000-000006000000}">
      <text>
        <r>
          <rPr>
            <b/>
            <sz val="8"/>
            <color indexed="81"/>
            <rFont val="Tahoma"/>
            <family val="2"/>
          </rPr>
          <t xml:space="preserve">Si un nombre est inscrit dans la colonne $/porc,  les nombres entrés dans la colonne  $/an seront ignorés par la calculatrice.
</t>
        </r>
        <r>
          <rPr>
            <sz val="8"/>
            <color indexed="81"/>
            <rFont val="Tahoma"/>
            <family val="2"/>
          </rPr>
          <t xml:space="preserve">
</t>
        </r>
      </text>
    </comment>
    <comment ref="E85" authorId="0" shapeId="0" xr:uid="{00000000-0006-0000-0000-000007000000}">
      <text>
        <r>
          <rPr>
            <b/>
            <sz val="8"/>
            <color indexed="81"/>
            <rFont val="Tahoma"/>
            <family val="2"/>
          </rPr>
          <t xml:space="preserve">Si un nombre est inscrit dans la colonne $/porc,  les nombres entrés dans la colonne  $/an seront ignorés par la calculatrice.
</t>
        </r>
      </text>
    </comment>
    <comment ref="D97" authorId="0" shapeId="0" xr:uid="{00000000-0006-0000-0000-000008000000}">
      <text>
        <r>
          <rPr>
            <b/>
            <sz val="8"/>
            <color indexed="81"/>
            <rFont val="Tahoma"/>
            <family val="2"/>
          </rPr>
          <t xml:space="preserve">Si un nombre est inscrit dans la colonne $/porc,  les nombres entrés dans la colonne  $/an seront ignorés par la calculatrice.
</t>
        </r>
        <r>
          <rPr>
            <sz val="8"/>
            <color indexed="81"/>
            <rFont val="Tahoma"/>
            <family val="2"/>
          </rPr>
          <t xml:space="preserve">
</t>
        </r>
      </text>
    </comment>
    <comment ref="E97" authorId="0" shapeId="0" xr:uid="{00000000-0006-0000-0000-000009000000}">
      <text>
        <r>
          <rPr>
            <b/>
            <sz val="8"/>
            <color indexed="81"/>
            <rFont val="Tahoma"/>
            <family val="2"/>
          </rPr>
          <t xml:space="preserve">Si un nombre est inscrit dans la colonne $/porc,  les nombres entrés dans la colonne  $/an seront ignorés par la calculatrice.
</t>
        </r>
      </text>
    </comment>
    <comment ref="D110" authorId="0" shapeId="0" xr:uid="{00000000-0006-0000-0000-00000A000000}">
      <text>
        <r>
          <rPr>
            <b/>
            <sz val="8"/>
            <color indexed="81"/>
            <rFont val="Tahoma"/>
            <family val="2"/>
          </rPr>
          <t xml:space="preserve">Si un nombre est inscrit dans la colonne $/porc,  les nombres entrés dans la colonne  $/an seront ignorés par la calculatrice.
</t>
        </r>
        <r>
          <rPr>
            <sz val="8"/>
            <color indexed="81"/>
            <rFont val="Tahoma"/>
            <family val="2"/>
          </rPr>
          <t xml:space="preserve">
</t>
        </r>
      </text>
    </comment>
    <comment ref="E110" authorId="0" shapeId="0" xr:uid="{00000000-0006-0000-0000-00000B000000}">
      <text>
        <r>
          <rPr>
            <b/>
            <sz val="8"/>
            <color indexed="81"/>
            <rFont val="Tahoma"/>
            <family val="2"/>
          </rPr>
          <t xml:space="preserve">Si un nombre est inscrit dans la colonne $/porc,  les nombres entrés dans la colonne  $/an seront ignorés par la calculatrice.
</t>
        </r>
      </text>
    </comment>
    <comment ref="B138" authorId="0" shapeId="0" xr:uid="{00000000-0006-0000-0000-00000C000000}">
      <text>
        <r>
          <rPr>
            <b/>
            <sz val="8"/>
            <color indexed="81"/>
            <rFont val="Tahoma"/>
            <family val="2"/>
          </rPr>
          <t>Le coefficient de variation est utilisé à titre d'indicateur du niveau de risque de l'exploitation.  Il mesure en dollars le risque pris par dollar de revenu anticipé.  Plus le coefficient de variation est élevé, plus la variabilité de la fourchette de revenus de l'entreprise est grande. Plus le coefficient de variation est faible,  plus les probabilités que le résultat s'approche des prévisions sont élevées.   
Comparer le coefficient de variation de cette entreprise avec d'autres; les entreprises dont le coefficient de variation est moins élevé présentent moins de risques.</t>
        </r>
      </text>
    </comment>
  </commentList>
</comments>
</file>

<file path=xl/sharedStrings.xml><?xml version="1.0" encoding="utf-8"?>
<sst xmlns="http://schemas.openxmlformats.org/spreadsheetml/2006/main" count="215" uniqueCount="181">
  <si>
    <t>Revised: July 94</t>
  </si>
  <si>
    <t>Replacement Gilt Selling Price</t>
  </si>
  <si>
    <t>Breeding Boar Selling Price</t>
  </si>
  <si>
    <t>Analysis:  (Use the same units for this and the variable cost section)</t>
  </si>
  <si>
    <t xml:space="preserve">  Per kg of carcass weight</t>
  </si>
  <si>
    <t xml:space="preserve"> Replacement Gilts Sold</t>
  </si>
  <si>
    <t xml:space="preserve"> Breeding Boars Sold</t>
  </si>
  <si>
    <t>=</t>
  </si>
  <si>
    <t xml:space="preserve"> Grain #1</t>
  </si>
  <si>
    <t xml:space="preserve"> Corn</t>
  </si>
  <si>
    <t xml:space="preserve">       #2</t>
  </si>
  <si>
    <t xml:space="preserve"> </t>
  </si>
  <si>
    <t xml:space="preserve">       #3</t>
  </si>
  <si>
    <t>Description</t>
  </si>
  <si>
    <t xml:space="preserve">  Crop Transfers (based on</t>
  </si>
  <si>
    <t xml:space="preserve"> ----------------</t>
  </si>
  <si>
    <t xml:space="preserve"> Description</t>
  </si>
  <si>
    <t>PmStd</t>
  </si>
  <si>
    <t>QmStd</t>
  </si>
  <si>
    <t xml:space="preserve"> B Boars</t>
  </si>
  <si>
    <t xml:space="preserve"> R Gilts</t>
  </si>
  <si>
    <t>Feed Cst</t>
  </si>
  <si>
    <t>PFeeders</t>
  </si>
  <si>
    <t xml:space="preserve">       17 %</t>
  </si>
  <si>
    <t>std</t>
  </si>
  <si>
    <t xml:space="preserve">       33 %</t>
  </si>
  <si>
    <t xml:space="preserve">       50 %</t>
  </si>
  <si>
    <t xml:space="preserve">   b.e.</t>
  </si>
  <si>
    <t xml:space="preserve"> +profit</t>
  </si>
  <si>
    <t xml:space="preserve"> ¬ price</t>
  </si>
  <si>
    <t xml:space="preserve">       67 %</t>
  </si>
  <si>
    <t>z</t>
  </si>
  <si>
    <t xml:space="preserve">       83 %</t>
  </si>
  <si>
    <t>v1</t>
  </si>
  <si>
    <t>v2</t>
  </si>
  <si>
    <t>p(vx)</t>
  </si>
  <si>
    <t>$/kg</t>
  </si>
  <si>
    <t/>
  </si>
  <si>
    <t>Allo!C3..J14</t>
  </si>
  <si>
    <t>Tran!D3..G14</t>
  </si>
  <si>
    <t>Wfarm!L4</t>
  </si>
  <si>
    <t>Wfarm!L5</t>
  </si>
  <si>
    <t>Wfarm!L6</t>
  </si>
  <si>
    <t>Wfarm!L7</t>
  </si>
  <si>
    <t>Wfarm!L8</t>
  </si>
  <si>
    <t>Wfarm!L9</t>
  </si>
  <si>
    <t>Wfarm!K4</t>
  </si>
  <si>
    <t>Wfarm!K5</t>
  </si>
  <si>
    <t>Wfarm!K6</t>
  </si>
  <si>
    <t>Wfarm!K7</t>
  </si>
  <si>
    <t xml:space="preserve">Homegrown Feed: </t>
  </si>
  <si>
    <t>Y</t>
  </si>
  <si>
    <t>??</t>
  </si>
  <si>
    <t>feeders</t>
  </si>
  <si>
    <t>1 877 424-1300</t>
  </si>
  <si>
    <t>Pour plus d'information</t>
  </si>
  <si>
    <t>L'utilisateur de la présente feuille de travail est entièrement responsable de son contenu.</t>
  </si>
  <si>
    <t>Chaque exploitant peut modifier les nombres en bleu pour refléter les données de son entreprise.</t>
  </si>
  <si>
    <t>Capacité de la porcherie-têtes</t>
  </si>
  <si>
    <t xml:space="preserve">Nombre de sem. par lot </t>
  </si>
  <si>
    <t>Pouponnière # 1</t>
  </si>
  <si>
    <t>Pouponnière # 2</t>
  </si>
  <si>
    <t>Pouponnière # 3</t>
  </si>
  <si>
    <t>Croissance-finition # 1</t>
  </si>
  <si>
    <t>Croissance-finition # 2</t>
  </si>
  <si>
    <t>Croissance-finition # 3</t>
  </si>
  <si>
    <t>feed cost/porc</t>
  </si>
  <si>
    <t>kg/porc</t>
  </si>
  <si>
    <t xml:space="preserve">  Per porc (Y or N)</t>
  </si>
  <si>
    <t>porcs</t>
  </si>
  <si>
    <t>porcstd</t>
  </si>
  <si>
    <t>but with weaned porcs purchased at</t>
  </si>
  <si>
    <t xml:space="preserve">  $/an </t>
  </si>
  <si>
    <t xml:space="preserve">$/an </t>
  </si>
  <si>
    <t>** Enter Herd Size Used To Determine Frais variables</t>
  </si>
  <si>
    <t>Frais variables</t>
  </si>
  <si>
    <t>Frais fixes</t>
  </si>
  <si>
    <t xml:space="preserve">Porcelets sevrés achetés/an </t>
  </si>
  <si>
    <t>Poids anticipé des porcelets sev.- kg</t>
  </si>
  <si>
    <t>Poids de marché anticipé - kg</t>
  </si>
  <si>
    <t>Poids carcasse anticipé - kg</t>
  </si>
  <si>
    <t>Indice du marché anticipé</t>
  </si>
  <si>
    <t>Budget-alimentation</t>
  </si>
  <si>
    <t xml:space="preserve">      (poids carcasse)</t>
  </si>
  <si>
    <t xml:space="preserve">    Kg de porc produit </t>
  </si>
  <si>
    <t xml:space="preserve">  Facteurs de risque </t>
  </si>
  <si>
    <t>Taux de survie %</t>
  </si>
  <si>
    <t>Prix du marché</t>
  </si>
  <si>
    <t>Optimiste</t>
  </si>
  <si>
    <t xml:space="preserve"> Anticipé</t>
  </si>
  <si>
    <t>Pessimiste</t>
  </si>
  <si>
    <t xml:space="preserve"> Revenu</t>
  </si>
  <si>
    <t>Prix des porcelets sev.</t>
  </si>
  <si>
    <t>$/porc de marché</t>
  </si>
  <si>
    <t>$ porcelet sev.</t>
  </si>
  <si>
    <t>Fourchette plus ou moins normale, coûts d'alimentation :</t>
  </si>
  <si>
    <t xml:space="preserve">% des coûts prévus </t>
  </si>
  <si>
    <t>Ventes de bétail</t>
  </si>
  <si>
    <t xml:space="preserve"> Porcs de marché vendus </t>
  </si>
  <si>
    <t xml:space="preserve">    Têtes</t>
  </si>
  <si>
    <t>Totall des ventes</t>
  </si>
  <si>
    <t>DÉPENSES</t>
  </si>
  <si>
    <t>Type</t>
  </si>
  <si>
    <t>Frais variables :</t>
  </si>
  <si>
    <t>Alimentation :</t>
  </si>
  <si>
    <t>Pouponnière  1</t>
  </si>
  <si>
    <t>Pouponnière  2</t>
  </si>
  <si>
    <t>Pouponnière  3</t>
  </si>
  <si>
    <t>Croissance-finition  1</t>
  </si>
  <si>
    <t>Croissance-finition 2</t>
  </si>
  <si>
    <t>Croissance-finition  3</t>
  </si>
  <si>
    <t xml:space="preserve"> Grain 1</t>
  </si>
  <si>
    <t xml:space="preserve">       2</t>
  </si>
  <si>
    <t xml:space="preserve">       3</t>
  </si>
  <si>
    <t xml:space="preserve"> Complément protéique</t>
  </si>
  <si>
    <t>Prémélange</t>
  </si>
  <si>
    <t xml:space="preserve">Autres </t>
  </si>
  <si>
    <t xml:space="preserve"> Total des coûts d'alimentation</t>
  </si>
  <si>
    <t xml:space="preserve">  Porcelets sevrés </t>
  </si>
  <si>
    <t>Autres</t>
  </si>
  <si>
    <t>Têtes</t>
  </si>
  <si>
    <t>/tête</t>
  </si>
  <si>
    <t>Main-d'œuvre salariée</t>
  </si>
  <si>
    <t>Frais vét. et médicaments</t>
  </si>
  <si>
    <t>Litière</t>
  </si>
  <si>
    <t>Mise en marché et classification</t>
  </si>
  <si>
    <t xml:space="preserve"> Transport</t>
  </si>
  <si>
    <t xml:space="preserve"> Fournitures-porcherie</t>
  </si>
  <si>
    <t xml:space="preserve">Travail à forfait </t>
  </si>
  <si>
    <t>Location d'équipement</t>
  </si>
  <si>
    <t xml:space="preserve"> Serv. publics (électricité, gaz)</t>
  </si>
  <si>
    <t xml:space="preserve">  Rép. et entretien du matériel</t>
  </si>
  <si>
    <t>Rép. et entretien des bâtiments</t>
  </si>
  <si>
    <t xml:space="preserve"> Location</t>
  </si>
  <si>
    <t>Frais variables généraux</t>
  </si>
  <si>
    <t xml:space="preserve"> Intérêt sur </t>
  </si>
  <si>
    <t>% int.</t>
  </si>
  <si>
    <t xml:space="preserve">% an </t>
  </si>
  <si>
    <t xml:space="preserve"> Dépréciation</t>
  </si>
  <si>
    <t xml:space="preserve"> Intérêt sur prêts à terme</t>
  </si>
  <si>
    <t>Locations à long terme</t>
  </si>
  <si>
    <t xml:space="preserve"> Frais fixes généraux</t>
  </si>
  <si>
    <t>Total des frais fixes</t>
  </si>
  <si>
    <t>Revenus :</t>
  </si>
  <si>
    <t>Revenus totaux anticipés</t>
  </si>
  <si>
    <t xml:space="preserve">Marge d'exploitation anticipée </t>
  </si>
  <si>
    <t xml:space="preserve">    moins : frais fixes</t>
  </si>
  <si>
    <t>Revenu net anticipé</t>
  </si>
  <si>
    <t xml:space="preserve">Seuil de rentabilité anticipé $/ckg poids carcasse </t>
  </si>
  <si>
    <t xml:space="preserve">        nécessaire pour couvrir </t>
  </si>
  <si>
    <t>Total des frais</t>
  </si>
  <si>
    <t>Porcs de marché</t>
  </si>
  <si>
    <t>Probabilité d'obtenir au moins le seuil de rentabilité           ==&gt;</t>
  </si>
  <si>
    <t>Probabilité d'obtenir au moins</t>
  </si>
  <si>
    <t xml:space="preserve">Probabilité d'obtenir au moins </t>
  </si>
  <si>
    <t xml:space="preserve">Indicateur de risque - </t>
  </si>
  <si>
    <t>Coefficient de variation                 ==&gt;</t>
  </si>
  <si>
    <t>Carburant</t>
  </si>
  <si>
    <t>Élimination du fumier</t>
  </si>
  <si>
    <t xml:space="preserve"> capital d'exploitation</t>
  </si>
  <si>
    <t xml:space="preserve">Achats de bétail </t>
  </si>
  <si>
    <t>Total des frais variables</t>
  </si>
  <si>
    <t>Frais fixes :</t>
  </si>
  <si>
    <t xml:space="preserve">    moins : frais variables</t>
  </si>
  <si>
    <t>seuil de rentabilité</t>
  </si>
  <si>
    <t xml:space="preserve">Probabilité d'obtenir au moins le </t>
  </si>
  <si>
    <t xml:space="preserve">    Capacité de production-têtes</t>
  </si>
  <si>
    <t xml:space="preserve">    Porcs de marché vendus/an </t>
  </si>
  <si>
    <t xml:space="preserve">    Besoins alimentaires/an  (tonnes) :</t>
  </si>
  <si>
    <t xml:space="preserve">    Indice de cons.-aliments/gain :</t>
  </si>
  <si>
    <t>Revenus</t>
  </si>
  <si>
    <t>faible risque</t>
  </si>
  <si>
    <t>risque modéré</t>
  </si>
  <si>
    <t>risque élevé</t>
  </si>
  <si>
    <t>ag.info.omafra@ontario.ca</t>
  </si>
  <si>
    <r>
      <t>BUDGET D'ENTREPRISE - SEVRAGE-FINITION</t>
    </r>
    <r>
      <rPr>
        <b/>
        <vertAlign val="superscript"/>
        <sz val="12"/>
        <rFont val="Arial"/>
        <family val="2"/>
      </rPr>
      <t>1</t>
    </r>
  </si>
  <si>
    <t>Il s’agit d’un outil de budgétisation contenant un chiffrier pour le calcul du coût de production. Des champs à remplir sont prévus pour l’utilisateur. L’outil comporte 21 colonnes et 252 lignes.</t>
  </si>
  <si>
    <t>fin de la feuille de calcul</t>
  </si>
  <si>
    <t>Révision : 2023</t>
  </si>
  <si>
    <t>1. Basé sur les Budgets mensuels du porc, développés par MAAAO</t>
  </si>
  <si>
    <t xml:space="preserve">Centre d'information agricole du MAAAO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</si>
</sst>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_);\(&quot;$&quot;#,##0\)"/>
    <numFmt numFmtId="165" formatCode="&quot;$&quot;#,##0.00_);\(&quot;$&quot;#,##0.00\)"/>
    <numFmt numFmtId="166" formatCode=";;;"/>
    <numFmt numFmtId="167" formatCode="0_)"/>
    <numFmt numFmtId="168" formatCode="0.0_)"/>
    <numFmt numFmtId="169" formatCode="0.00_)"/>
    <numFmt numFmtId="170" formatCode="&quot;$&quot;#,##0.0000_);\(&quot;$&quot;#,##0.0000\)"/>
    <numFmt numFmtId="171" formatCode="0.0000_)"/>
    <numFmt numFmtId="172" formatCode="0.000_)"/>
    <numFmt numFmtId="173" formatCode="0.000000"/>
  </numFmts>
  <fonts count="22" x14ac:knownFonts="1">
    <font>
      <sz val="10"/>
      <name val="Courier"/>
    </font>
    <font>
      <sz val="9"/>
      <name val="Courier New"/>
      <family val="3"/>
    </font>
    <font>
      <sz val="8"/>
      <name val="Courier"/>
    </font>
    <font>
      <u/>
      <sz val="10"/>
      <color indexed="12"/>
      <name val="Arial"/>
      <family val="2"/>
    </font>
    <font>
      <sz val="9"/>
      <color indexed="8"/>
      <name val="Courier New"/>
      <family val="3"/>
    </font>
    <font>
      <sz val="10"/>
      <color indexed="10"/>
      <name val="Courier"/>
    </font>
    <font>
      <b/>
      <sz val="8"/>
      <color indexed="81"/>
      <name val="Tahoma"/>
      <family val="2"/>
    </font>
    <font>
      <sz val="8"/>
      <color indexed="81"/>
      <name val="Tahoma"/>
      <family val="2"/>
    </font>
    <font>
      <sz val="9"/>
      <name val="Arial"/>
      <family val="2"/>
    </font>
    <font>
      <sz val="9"/>
      <color indexed="10"/>
      <name val="Courier New"/>
      <family val="3"/>
    </font>
    <font>
      <b/>
      <sz val="12"/>
      <name val="Arial"/>
      <family val="2"/>
    </font>
    <font>
      <b/>
      <vertAlign val="superscript"/>
      <sz val="12"/>
      <name val="Arial"/>
      <family val="2"/>
    </font>
    <font>
      <b/>
      <sz val="12"/>
      <color indexed="12"/>
      <name val="Arial"/>
      <family val="2"/>
    </font>
    <font>
      <sz val="12"/>
      <name val="Courier"/>
    </font>
    <font>
      <b/>
      <sz val="12"/>
      <color indexed="10"/>
      <name val="Arial"/>
      <family val="2"/>
    </font>
    <font>
      <sz val="12"/>
      <color indexed="10"/>
      <name val="Courier"/>
    </font>
    <font>
      <b/>
      <sz val="12"/>
      <color indexed="8"/>
      <name val="Arial"/>
      <family val="2"/>
    </font>
    <font>
      <u/>
      <sz val="12"/>
      <color indexed="12"/>
      <name val="Arial"/>
      <family val="2"/>
    </font>
    <font>
      <sz val="12"/>
      <name val="Courier New"/>
      <family val="3"/>
    </font>
    <font>
      <sz val="10"/>
      <name val="Courier"/>
      <family val="3"/>
    </font>
    <font>
      <sz val="12"/>
      <color indexed="12"/>
      <name val="Arial"/>
      <family val="2"/>
    </font>
    <font>
      <b/>
      <sz val="9"/>
      <color indexed="8"/>
      <name val="Arial"/>
      <family val="2"/>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9"/>
        <bgColor indexed="42"/>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9" fillId="0" borderId="0"/>
    <xf numFmtId="0" fontId="19" fillId="0" borderId="0"/>
  </cellStyleXfs>
  <cellXfs count="224">
    <xf numFmtId="0" fontId="0" fillId="0" borderId="0" xfId="0"/>
    <xf numFmtId="0" fontId="1" fillId="0" borderId="0" xfId="0" applyFont="1" applyAlignment="1" applyProtection="1">
      <alignment horizontal="left"/>
    </xf>
    <xf numFmtId="0" fontId="1" fillId="0" borderId="0" xfId="0" applyFont="1"/>
    <xf numFmtId="166" fontId="1" fillId="0" borderId="0" xfId="0" applyNumberFormat="1" applyFont="1" applyProtection="1"/>
    <xf numFmtId="0" fontId="1" fillId="0" borderId="0" xfId="0" applyFont="1" applyProtection="1"/>
    <xf numFmtId="166" fontId="1" fillId="0" borderId="0" xfId="0" applyNumberFormat="1" applyFont="1" applyAlignment="1" applyProtection="1">
      <alignment horizontal="left"/>
    </xf>
    <xf numFmtId="167" fontId="1" fillId="0" borderId="0" xfId="0" applyNumberFormat="1" applyFont="1" applyProtection="1"/>
    <xf numFmtId="37" fontId="1" fillId="0" borderId="0" xfId="0" applyNumberFormat="1" applyFont="1" applyProtection="1"/>
    <xf numFmtId="164" fontId="1" fillId="0" borderId="0" xfId="0" applyNumberFormat="1" applyFont="1" applyProtection="1"/>
    <xf numFmtId="0" fontId="1" fillId="0" borderId="0" xfId="0" quotePrefix="1" applyFont="1"/>
    <xf numFmtId="0" fontId="4" fillId="0" borderId="0" xfId="0" applyNumberFormat="1" applyFont="1" applyProtection="1"/>
    <xf numFmtId="0" fontId="4" fillId="0" borderId="0" xfId="0" applyNumberFormat="1" applyFont="1" applyAlignment="1" applyProtection="1">
      <alignment horizontal="left"/>
    </xf>
    <xf numFmtId="173" fontId="4" fillId="0" borderId="0" xfId="0" applyNumberFormat="1" applyFont="1" applyProtection="1"/>
    <xf numFmtId="2" fontId="8" fillId="0" borderId="0" xfId="0" applyNumberFormat="1" applyFont="1" applyProtection="1"/>
    <xf numFmtId="166" fontId="9" fillId="0" borderId="0" xfId="0" applyNumberFormat="1" applyFont="1" applyProtection="1"/>
    <xf numFmtId="0" fontId="9" fillId="0" borderId="0" xfId="0" applyFont="1"/>
    <xf numFmtId="0" fontId="5" fillId="0" borderId="0" xfId="0" applyFont="1"/>
    <xf numFmtId="0" fontId="10" fillId="2" borderId="1" xfId="0" applyFont="1" applyFill="1" applyBorder="1" applyAlignment="1" applyProtection="1">
      <alignment horizontal="left"/>
    </xf>
    <xf numFmtId="0" fontId="10" fillId="2" borderId="2" xfId="0" applyFont="1" applyFill="1" applyBorder="1"/>
    <xf numFmtId="0" fontId="10" fillId="2" borderId="2" xfId="0" applyFont="1" applyFill="1" applyBorder="1" applyAlignment="1" applyProtection="1">
      <alignment horizontal="left"/>
    </xf>
    <xf numFmtId="0" fontId="10" fillId="2" borderId="3" xfId="0" applyFont="1" applyFill="1" applyBorder="1"/>
    <xf numFmtId="166" fontId="10" fillId="2" borderId="4" xfId="0" applyNumberFormat="1" applyFont="1" applyFill="1" applyBorder="1" applyProtection="1"/>
    <xf numFmtId="0" fontId="10" fillId="2" borderId="0" xfId="0" applyFont="1" applyFill="1" applyBorder="1"/>
    <xf numFmtId="0" fontId="10" fillId="2" borderId="0" xfId="0" applyFont="1" applyFill="1" applyBorder="1" applyProtection="1"/>
    <xf numFmtId="165" fontId="10" fillId="2" borderId="0" xfId="0" applyNumberFormat="1" applyFont="1" applyFill="1" applyBorder="1" applyProtection="1"/>
    <xf numFmtId="165" fontId="10" fillId="2" borderId="5" xfId="0" applyNumberFormat="1" applyFont="1" applyFill="1" applyBorder="1" applyProtection="1"/>
    <xf numFmtId="0" fontId="10" fillId="2" borderId="6" xfId="0" applyFont="1" applyFill="1" applyBorder="1" applyAlignment="1" applyProtection="1">
      <alignment horizontal="left"/>
    </xf>
    <xf numFmtId="0" fontId="10" fillId="2" borderId="7" xfId="0" applyFont="1" applyFill="1" applyBorder="1"/>
    <xf numFmtId="166" fontId="10" fillId="2" borderId="7" xfId="0" applyNumberFormat="1" applyFont="1" applyFill="1" applyBorder="1" applyAlignment="1" applyProtection="1">
      <alignment horizontal="left"/>
    </xf>
    <xf numFmtId="0" fontId="10" fillId="2" borderId="8" xfId="0" applyFont="1" applyFill="1" applyBorder="1"/>
    <xf numFmtId="0" fontId="12" fillId="3" borderId="4" xfId="0" applyFont="1" applyFill="1" applyBorder="1" applyAlignment="1" applyProtection="1">
      <alignment horizontal="left"/>
    </xf>
    <xf numFmtId="0" fontId="10" fillId="3" borderId="0" xfId="0" applyFont="1" applyFill="1" applyBorder="1"/>
    <xf numFmtId="166" fontId="10" fillId="3" borderId="0" xfId="0" applyNumberFormat="1" applyFont="1" applyFill="1" applyBorder="1" applyAlignment="1" applyProtection="1">
      <alignment horizontal="left"/>
    </xf>
    <xf numFmtId="0" fontId="10" fillId="3" borderId="5" xfId="0" applyFont="1" applyFill="1" applyBorder="1"/>
    <xf numFmtId="0" fontId="12" fillId="4" borderId="9" xfId="0" applyFont="1" applyFill="1" applyBorder="1" applyAlignment="1" applyProtection="1">
      <alignment horizontal="center"/>
      <protection locked="0"/>
    </xf>
    <xf numFmtId="167" fontId="10" fillId="2" borderId="3" xfId="0" applyNumberFormat="1" applyFont="1" applyFill="1" applyBorder="1" applyProtection="1"/>
    <xf numFmtId="0" fontId="10" fillId="2" borderId="4" xfId="0" applyFont="1" applyFill="1" applyBorder="1" applyAlignment="1" applyProtection="1">
      <alignment horizontal="left"/>
    </xf>
    <xf numFmtId="0" fontId="10" fillId="2" borderId="0" xfId="0" applyFont="1" applyFill="1" applyBorder="1" applyAlignment="1" applyProtection="1">
      <alignment horizontal="left"/>
    </xf>
    <xf numFmtId="169" fontId="10" fillId="2" borderId="0" xfId="0" applyNumberFormat="1" applyFont="1" applyFill="1" applyBorder="1" applyProtection="1"/>
    <xf numFmtId="167" fontId="10" fillId="2" borderId="5" xfId="0" applyNumberFormat="1" applyFont="1" applyFill="1" applyBorder="1" applyProtection="1"/>
    <xf numFmtId="0" fontId="12" fillId="2" borderId="10" xfId="0" applyFont="1" applyFill="1" applyBorder="1" applyAlignment="1" applyProtection="1">
      <alignment horizontal="center"/>
      <protection locked="0"/>
    </xf>
    <xf numFmtId="1" fontId="12" fillId="4" borderId="9" xfId="0" applyNumberFormat="1" applyFont="1" applyFill="1" applyBorder="1" applyAlignment="1" applyProtection="1">
      <alignment horizontal="center"/>
      <protection locked="0"/>
    </xf>
    <xf numFmtId="167" fontId="10" fillId="2" borderId="0" xfId="0" applyNumberFormat="1" applyFont="1" applyFill="1" applyBorder="1" applyProtection="1"/>
    <xf numFmtId="169" fontId="10" fillId="2" borderId="5" xfId="0" applyNumberFormat="1" applyFont="1" applyFill="1" applyBorder="1" applyProtection="1"/>
    <xf numFmtId="170" fontId="10" fillId="2" borderId="0" xfId="0" applyNumberFormat="1" applyFont="1" applyFill="1" applyBorder="1" applyProtection="1"/>
    <xf numFmtId="0" fontId="13" fillId="2" borderId="4" xfId="0" applyFont="1" applyFill="1" applyBorder="1"/>
    <xf numFmtId="0" fontId="13" fillId="2" borderId="0" xfId="0" applyFont="1" applyFill="1" applyBorder="1"/>
    <xf numFmtId="0" fontId="13" fillId="2" borderId="5" xfId="0" applyFont="1" applyFill="1" applyBorder="1"/>
    <xf numFmtId="0" fontId="10" fillId="2" borderId="4" xfId="0" applyFont="1" applyFill="1" applyBorder="1"/>
    <xf numFmtId="0" fontId="10" fillId="2" borderId="0" xfId="0" applyFont="1" applyFill="1" applyBorder="1" applyAlignment="1" applyProtection="1">
      <alignment horizontal="left" indent="1"/>
    </xf>
    <xf numFmtId="168" fontId="10" fillId="2" borderId="0" xfId="0" applyNumberFormat="1" applyFont="1" applyFill="1" applyBorder="1" applyProtection="1"/>
    <xf numFmtId="2" fontId="10" fillId="2" borderId="5" xfId="0" applyNumberFormat="1" applyFont="1" applyFill="1" applyBorder="1" applyProtection="1"/>
    <xf numFmtId="0" fontId="10" fillId="2" borderId="0" xfId="0" applyFont="1" applyFill="1" applyBorder="1" applyAlignment="1" applyProtection="1">
      <alignment horizontal="center"/>
    </xf>
    <xf numFmtId="0" fontId="13" fillId="2" borderId="0" xfId="0" applyFont="1" applyFill="1"/>
    <xf numFmtId="37" fontId="10" fillId="2" borderId="0" xfId="0" applyNumberFormat="1" applyFont="1" applyFill="1" applyBorder="1" applyProtection="1"/>
    <xf numFmtId="0" fontId="12" fillId="4" borderId="11" xfId="0" applyFont="1" applyFill="1" applyBorder="1" applyAlignment="1" applyProtection="1">
      <alignment horizontal="left" indent="1"/>
      <protection locked="0"/>
    </xf>
    <xf numFmtId="37" fontId="10" fillId="2" borderId="0" xfId="0" applyNumberFormat="1" applyFont="1" applyFill="1" applyBorder="1" applyAlignment="1" applyProtection="1">
      <alignment horizontal="left" indent="1"/>
    </xf>
    <xf numFmtId="0" fontId="10" fillId="2" borderId="0" xfId="0" applyFont="1" applyFill="1" applyBorder="1" applyAlignment="1">
      <alignment horizontal="left" indent="1"/>
    </xf>
    <xf numFmtId="2" fontId="10" fillId="2" borderId="5" xfId="0" applyNumberFormat="1" applyFont="1" applyFill="1" applyBorder="1"/>
    <xf numFmtId="0" fontId="10" fillId="2" borderId="5" xfId="0" applyFont="1" applyFill="1" applyBorder="1"/>
    <xf numFmtId="0" fontId="10" fillId="2" borderId="0" xfId="0" applyFont="1" applyFill="1" applyBorder="1" applyAlignment="1">
      <alignment horizontal="right"/>
    </xf>
    <xf numFmtId="0" fontId="10" fillId="2" borderId="0" xfId="0" applyFont="1" applyFill="1" applyBorder="1" applyAlignment="1">
      <alignment horizontal="center"/>
    </xf>
    <xf numFmtId="0" fontId="14" fillId="2" borderId="4" xfId="0" applyFont="1" applyFill="1" applyBorder="1" applyAlignment="1" applyProtection="1">
      <alignment horizontal="left"/>
    </xf>
    <xf numFmtId="169" fontId="14" fillId="2" borderId="0" xfId="0" applyNumberFormat="1" applyFont="1" applyFill="1" applyBorder="1" applyProtection="1"/>
    <xf numFmtId="37" fontId="14" fillId="2" borderId="0" xfId="0" applyNumberFormat="1" applyFont="1" applyFill="1" applyBorder="1" applyProtection="1"/>
    <xf numFmtId="171" fontId="14" fillId="2" borderId="0" xfId="0" applyNumberFormat="1" applyFont="1" applyFill="1" applyBorder="1" applyProtection="1"/>
    <xf numFmtId="0" fontId="14" fillId="2" borderId="0" xfId="0" applyFont="1" applyFill="1" applyBorder="1"/>
    <xf numFmtId="0" fontId="14" fillId="2" borderId="5" xfId="0" applyFont="1" applyFill="1" applyBorder="1"/>
    <xf numFmtId="0" fontId="14" fillId="4" borderId="9" xfId="0" applyFont="1" applyFill="1" applyBorder="1" applyAlignment="1" applyProtection="1">
      <alignment horizontal="center"/>
      <protection locked="0"/>
    </xf>
    <xf numFmtId="167" fontId="14" fillId="2" borderId="5" xfId="0" applyNumberFormat="1" applyFont="1" applyFill="1" applyBorder="1" applyProtection="1"/>
    <xf numFmtId="0" fontId="14" fillId="2" borderId="6" xfId="0" applyFont="1" applyFill="1" applyBorder="1" applyAlignment="1" applyProtection="1">
      <alignment horizontal="left"/>
    </xf>
    <xf numFmtId="0" fontId="14" fillId="2" borderId="7" xfId="0" applyFont="1" applyFill="1" applyBorder="1"/>
    <xf numFmtId="165" fontId="14" fillId="2" borderId="7" xfId="0" applyNumberFormat="1" applyFont="1" applyFill="1" applyBorder="1" applyProtection="1"/>
    <xf numFmtId="0" fontId="14" fillId="2" borderId="7" xfId="0" applyFont="1" applyFill="1" applyBorder="1" applyAlignment="1" applyProtection="1">
      <alignment horizontal="center"/>
    </xf>
    <xf numFmtId="0" fontId="14" fillId="2" borderId="7" xfId="0" applyFont="1" applyFill="1" applyBorder="1" applyProtection="1"/>
    <xf numFmtId="169" fontId="14" fillId="2" borderId="7" xfId="0" applyNumberFormat="1" applyFont="1" applyFill="1" applyBorder="1" applyProtection="1"/>
    <xf numFmtId="37" fontId="14" fillId="2" borderId="8" xfId="0" applyNumberFormat="1" applyFont="1" applyFill="1" applyBorder="1" applyProtection="1"/>
    <xf numFmtId="0" fontId="10" fillId="0" borderId="10" xfId="0" applyFont="1" applyFill="1" applyBorder="1" applyAlignment="1" applyProtection="1">
      <alignment horizontal="left"/>
    </xf>
    <xf numFmtId="0" fontId="10" fillId="0" borderId="10" xfId="0" applyFont="1" applyFill="1" applyBorder="1"/>
    <xf numFmtId="165" fontId="10" fillId="0" borderId="10" xfId="0" applyNumberFormat="1" applyFont="1" applyFill="1" applyBorder="1" applyProtection="1"/>
    <xf numFmtId="0" fontId="10" fillId="0" borderId="10" xfId="0" applyFont="1" applyFill="1" applyBorder="1" applyAlignment="1" applyProtection="1">
      <alignment horizontal="center"/>
    </xf>
    <xf numFmtId="0" fontId="10" fillId="0" borderId="10" xfId="0" applyFont="1" applyFill="1" applyBorder="1" applyProtection="1"/>
    <xf numFmtId="169" fontId="10" fillId="0" borderId="10" xfId="0" applyNumberFormat="1" applyFont="1" applyFill="1" applyBorder="1" applyProtection="1"/>
    <xf numFmtId="37" fontId="10" fillId="0" borderId="10" xfId="0" applyNumberFormat="1" applyFont="1" applyFill="1" applyBorder="1" applyProtection="1"/>
    <xf numFmtId="0" fontId="10" fillId="2" borderId="2" xfId="0" applyFont="1" applyFill="1" applyBorder="1" applyProtection="1"/>
    <xf numFmtId="0" fontId="10" fillId="2" borderId="2" xfId="0" applyFont="1" applyFill="1" applyBorder="1" applyAlignment="1" applyProtection="1">
      <alignment horizontal="center"/>
    </xf>
    <xf numFmtId="166" fontId="10" fillId="2" borderId="3" xfId="0" applyNumberFormat="1" applyFont="1" applyFill="1" applyBorder="1" applyProtection="1"/>
    <xf numFmtId="0" fontId="10" fillId="2" borderId="0" xfId="0" quotePrefix="1" applyFont="1" applyFill="1" applyBorder="1" applyAlignment="1" applyProtection="1">
      <alignment horizontal="left"/>
    </xf>
    <xf numFmtId="167" fontId="14" fillId="2" borderId="0" xfId="0" applyNumberFormat="1" applyFont="1" applyFill="1" applyBorder="1" applyProtection="1"/>
    <xf numFmtId="168" fontId="10" fillId="2" borderId="5" xfId="0" applyNumberFormat="1" applyFont="1" applyFill="1" applyBorder="1" applyProtection="1"/>
    <xf numFmtId="0" fontId="10" fillId="2" borderId="5" xfId="0" applyFont="1" applyFill="1" applyBorder="1" applyProtection="1"/>
    <xf numFmtId="0" fontId="10" fillId="2" borderId="7" xfId="0" applyFont="1" applyFill="1" applyBorder="1" applyAlignment="1" applyProtection="1">
      <alignment horizontal="left"/>
    </xf>
    <xf numFmtId="168" fontId="10" fillId="2" borderId="8" xfId="0" applyNumberFormat="1" applyFont="1" applyFill="1" applyBorder="1" applyProtection="1"/>
    <xf numFmtId="0" fontId="10" fillId="3" borderId="10" xfId="0" applyFont="1" applyFill="1" applyBorder="1" applyAlignment="1" applyProtection="1">
      <alignment horizontal="left"/>
    </xf>
    <xf numFmtId="0" fontId="10" fillId="3" borderId="10" xfId="0" applyFont="1" applyFill="1" applyBorder="1"/>
    <xf numFmtId="165" fontId="10" fillId="3" borderId="10" xfId="0" applyNumberFormat="1" applyFont="1" applyFill="1" applyBorder="1" applyProtection="1"/>
    <xf numFmtId="0" fontId="10" fillId="3" borderId="10" xfId="0" applyFont="1" applyFill="1" applyBorder="1" applyProtection="1"/>
    <xf numFmtId="169" fontId="10" fillId="3" borderId="10" xfId="0" applyNumberFormat="1" applyFont="1" applyFill="1" applyBorder="1" applyProtection="1"/>
    <xf numFmtId="37" fontId="10" fillId="3" borderId="10" xfId="0" applyNumberFormat="1" applyFont="1" applyFill="1" applyBorder="1" applyProtection="1"/>
    <xf numFmtId="0" fontId="10" fillId="2" borderId="1" xfId="0" applyFont="1" applyFill="1" applyBorder="1"/>
    <xf numFmtId="168" fontId="10" fillId="2" borderId="2" xfId="0" applyNumberFormat="1" applyFont="1" applyFill="1" applyBorder="1" applyProtection="1"/>
    <xf numFmtId="172" fontId="10" fillId="2" borderId="2" xfId="0" applyNumberFormat="1" applyFont="1" applyFill="1" applyBorder="1" applyProtection="1"/>
    <xf numFmtId="169" fontId="10" fillId="2" borderId="2" xfId="0" applyNumberFormat="1" applyFont="1" applyFill="1" applyBorder="1" applyProtection="1"/>
    <xf numFmtId="0" fontId="10" fillId="2" borderId="3" xfId="0" applyFont="1" applyFill="1" applyBorder="1" applyAlignment="1" applyProtection="1">
      <alignment horizontal="center"/>
    </xf>
    <xf numFmtId="165" fontId="10" fillId="2" borderId="0" xfId="0" quotePrefix="1" applyNumberFormat="1" applyFont="1" applyFill="1" applyBorder="1" applyAlignment="1" applyProtection="1">
      <alignment horizontal="center"/>
    </xf>
    <xf numFmtId="0" fontId="10" fillId="2" borderId="5" xfId="0" applyFont="1" applyFill="1" applyBorder="1" applyAlignment="1" applyProtection="1">
      <alignment horizontal="center"/>
    </xf>
    <xf numFmtId="168" fontId="14" fillId="2" borderId="0" xfId="0" applyNumberFormat="1" applyFont="1" applyFill="1" applyBorder="1" applyProtection="1"/>
    <xf numFmtId="0" fontId="15" fillId="2" borderId="0" xfId="0" applyFont="1" applyFill="1"/>
    <xf numFmtId="165" fontId="14" fillId="2" borderId="0" xfId="0" applyNumberFormat="1" applyFont="1" applyFill="1" applyBorder="1" applyProtection="1"/>
    <xf numFmtId="0" fontId="10" fillId="2" borderId="4" xfId="0" applyFont="1" applyFill="1" applyBorder="1" applyAlignment="1" applyProtection="1">
      <alignment horizontal="fill"/>
    </xf>
    <xf numFmtId="0" fontId="10" fillId="2" borderId="0" xfId="0" applyFont="1" applyFill="1" applyBorder="1" applyAlignment="1" applyProtection="1">
      <alignment horizontal="fill"/>
    </xf>
    <xf numFmtId="0" fontId="10" fillId="2" borderId="5" xfId="0" applyFont="1" applyFill="1" applyBorder="1" applyAlignment="1" applyProtection="1">
      <alignment horizontal="left"/>
    </xf>
    <xf numFmtId="0" fontId="10" fillId="2" borderId="6" xfId="0" applyFont="1" applyFill="1" applyBorder="1"/>
    <xf numFmtId="0" fontId="10" fillId="2" borderId="7" xfId="0" applyFont="1" applyFill="1" applyBorder="1" applyProtection="1"/>
    <xf numFmtId="169" fontId="10" fillId="2" borderId="7" xfId="0" applyNumberFormat="1" applyFont="1" applyFill="1" applyBorder="1" applyProtection="1"/>
    <xf numFmtId="167" fontId="10" fillId="2" borderId="8" xfId="0" applyNumberFormat="1" applyFont="1" applyFill="1" applyBorder="1" applyProtection="1"/>
    <xf numFmtId="0" fontId="10" fillId="3" borderId="0" xfId="0" applyFont="1" applyFill="1" applyBorder="1" applyAlignment="1" applyProtection="1">
      <alignment horizontal="left"/>
    </xf>
    <xf numFmtId="0" fontId="10" fillId="3" borderId="0" xfId="0" applyFont="1" applyFill="1" applyBorder="1" applyProtection="1"/>
    <xf numFmtId="169" fontId="10" fillId="3" borderId="0" xfId="0" applyNumberFormat="1" applyFont="1" applyFill="1" applyBorder="1" applyProtection="1"/>
    <xf numFmtId="167" fontId="10" fillId="3" borderId="0" xfId="0" applyNumberFormat="1" applyFont="1" applyFill="1" applyBorder="1" applyProtection="1"/>
    <xf numFmtId="0" fontId="14" fillId="0" borderId="0" xfId="0" applyFont="1" applyAlignment="1" applyProtection="1">
      <alignment horizontal="fill"/>
    </xf>
    <xf numFmtId="0" fontId="14" fillId="0" borderId="0" xfId="0" applyFont="1" applyProtection="1"/>
    <xf numFmtId="0" fontId="14" fillId="0" borderId="0" xfId="0" applyFont="1"/>
    <xf numFmtId="39" fontId="14" fillId="0" borderId="0" xfId="0" applyNumberFormat="1" applyFont="1" applyProtection="1"/>
    <xf numFmtId="37" fontId="14" fillId="0" borderId="0" xfId="0" applyNumberFormat="1" applyFont="1" applyProtection="1"/>
    <xf numFmtId="167" fontId="14" fillId="0" borderId="0" xfId="0" applyNumberFormat="1" applyFont="1" applyProtection="1">
      <protection locked="0"/>
    </xf>
    <xf numFmtId="0" fontId="14" fillId="0" borderId="0" xfId="0" applyFont="1" applyAlignment="1" applyProtection="1">
      <alignment horizontal="left"/>
      <protection locked="0"/>
    </xf>
    <xf numFmtId="0" fontId="14" fillId="0" borderId="0" xfId="0" applyFont="1" applyAlignment="1" applyProtection="1">
      <alignment horizontal="left"/>
    </xf>
    <xf numFmtId="170" fontId="14" fillId="0" borderId="0" xfId="0" applyNumberFormat="1" applyFont="1" applyProtection="1"/>
    <xf numFmtId="39" fontId="10" fillId="2" borderId="2" xfId="0" applyNumberFormat="1" applyFont="1" applyFill="1" applyBorder="1" applyProtection="1"/>
    <xf numFmtId="169" fontId="10" fillId="2" borderId="2" xfId="0" applyNumberFormat="1" applyFont="1" applyFill="1" applyBorder="1" applyAlignment="1" applyProtection="1">
      <alignment horizontal="center"/>
    </xf>
    <xf numFmtId="0" fontId="10" fillId="2" borderId="3" xfId="0" applyFont="1" applyFill="1" applyBorder="1" applyAlignment="1" applyProtection="1">
      <alignment horizontal="left"/>
    </xf>
    <xf numFmtId="0" fontId="10" fillId="2" borderId="5" xfId="0" applyFont="1" applyFill="1" applyBorder="1" applyAlignment="1" applyProtection="1">
      <alignment horizontal="fill"/>
    </xf>
    <xf numFmtId="166" fontId="10" fillId="2" borderId="0" xfId="0" applyNumberFormat="1" applyFont="1" applyFill="1" applyBorder="1" applyProtection="1"/>
    <xf numFmtId="37" fontId="10" fillId="2" borderId="5" xfId="0" applyNumberFormat="1" applyFont="1" applyFill="1" applyBorder="1" applyProtection="1"/>
    <xf numFmtId="169" fontId="12" fillId="4" borderId="9" xfId="0" applyNumberFormat="1" applyFont="1" applyFill="1" applyBorder="1" applyProtection="1">
      <protection locked="0"/>
    </xf>
    <xf numFmtId="167" fontId="12" fillId="4" borderId="9" xfId="0" applyNumberFormat="1" applyFont="1" applyFill="1" applyBorder="1" applyProtection="1">
      <protection locked="0"/>
    </xf>
    <xf numFmtId="0" fontId="14" fillId="2" borderId="0" xfId="0" applyFont="1" applyFill="1" applyBorder="1" applyProtection="1"/>
    <xf numFmtId="167" fontId="14" fillId="2" borderId="0" xfId="0" applyNumberFormat="1" applyFont="1" applyFill="1" applyBorder="1" applyProtection="1">
      <protection locked="0"/>
    </xf>
    <xf numFmtId="0" fontId="14" fillId="2" borderId="0" xfId="0" applyFont="1" applyFill="1" applyBorder="1" applyAlignment="1" applyProtection="1">
      <alignment horizontal="center"/>
    </xf>
    <xf numFmtId="0" fontId="14" fillId="2" borderId="0" xfId="0" applyFont="1" applyFill="1" applyBorder="1" applyAlignment="1" applyProtection="1">
      <alignment horizontal="right"/>
    </xf>
    <xf numFmtId="0" fontId="14" fillId="2" borderId="5" xfId="0" applyFont="1" applyFill="1" applyBorder="1" applyAlignment="1" applyProtection="1">
      <alignment horizontal="right"/>
    </xf>
    <xf numFmtId="0" fontId="14" fillId="2" borderId="5" xfId="0" applyFont="1" applyFill="1" applyBorder="1" applyAlignment="1" applyProtection="1">
      <alignment horizontal="center"/>
    </xf>
    <xf numFmtId="0" fontId="14" fillId="2" borderId="4" xfId="0" applyFont="1" applyFill="1" applyBorder="1"/>
    <xf numFmtId="0" fontId="14" fillId="2" borderId="0" xfId="0" applyFont="1" applyFill="1" applyBorder="1" applyAlignment="1" applyProtection="1">
      <alignment horizontal="left"/>
    </xf>
    <xf numFmtId="0" fontId="14" fillId="2" borderId="5" xfId="0" applyFont="1" applyFill="1" applyBorder="1" applyAlignment="1" applyProtection="1">
      <alignment horizontal="fill"/>
    </xf>
    <xf numFmtId="0" fontId="14" fillId="4" borderId="9" xfId="0" applyFont="1" applyFill="1" applyBorder="1" applyAlignment="1" applyProtection="1">
      <alignment horizontal="left"/>
      <protection locked="0"/>
    </xf>
    <xf numFmtId="0" fontId="15" fillId="4" borderId="9" xfId="0" applyFont="1" applyFill="1" applyBorder="1" applyAlignment="1"/>
    <xf numFmtId="169" fontId="14" fillId="4" borderId="9" xfId="0" applyNumberFormat="1" applyFont="1" applyFill="1" applyBorder="1" applyProtection="1">
      <protection locked="0"/>
    </xf>
    <xf numFmtId="0" fontId="14" fillId="4" borderId="9" xfId="0" applyFont="1" applyFill="1" applyBorder="1" applyProtection="1">
      <protection locked="0"/>
    </xf>
    <xf numFmtId="0" fontId="10" fillId="2" borderId="0" xfId="0" applyFont="1" applyFill="1" applyBorder="1" applyAlignment="1" applyProtection="1">
      <alignment horizontal="right"/>
    </xf>
    <xf numFmtId="169" fontId="10" fillId="2" borderId="0" xfId="0" applyNumberFormat="1" applyFont="1" applyFill="1" applyBorder="1" applyAlignment="1" applyProtection="1">
      <alignment horizontal="left"/>
    </xf>
    <xf numFmtId="167" fontId="10" fillId="2" borderId="0" xfId="0" applyNumberFormat="1" applyFont="1" applyFill="1" applyBorder="1" applyAlignment="1" applyProtection="1">
      <alignment horizontal="left"/>
    </xf>
    <xf numFmtId="167" fontId="10" fillId="2" borderId="5" xfId="0" applyNumberFormat="1" applyFont="1" applyFill="1" applyBorder="1" applyAlignment="1" applyProtection="1">
      <alignment horizontal="fill"/>
    </xf>
    <xf numFmtId="1" fontId="10" fillId="2" borderId="0" xfId="0" applyNumberFormat="1" applyFont="1" applyFill="1" applyBorder="1" applyProtection="1"/>
    <xf numFmtId="0" fontId="12" fillId="4" borderId="9" xfId="0" applyFont="1" applyFill="1" applyBorder="1" applyProtection="1">
      <protection locked="0"/>
    </xf>
    <xf numFmtId="169" fontId="10" fillId="2" borderId="0" xfId="0" applyNumberFormat="1" applyFont="1" applyFill="1" applyBorder="1" applyAlignment="1" applyProtection="1">
      <alignment horizontal="center"/>
    </xf>
    <xf numFmtId="39" fontId="10" fillId="2" borderId="0" xfId="0" applyNumberFormat="1" applyFont="1" applyFill="1" applyBorder="1" applyProtection="1"/>
    <xf numFmtId="0" fontId="12" fillId="4" borderId="11" xfId="0" applyFont="1" applyFill="1" applyBorder="1" applyAlignment="1"/>
    <xf numFmtId="0" fontId="12" fillId="4" borderId="12" xfId="0" applyFont="1" applyFill="1" applyBorder="1" applyAlignment="1"/>
    <xf numFmtId="9" fontId="10" fillId="2" borderId="0" xfId="0" applyNumberFormat="1" applyFont="1" applyFill="1" applyBorder="1" applyAlignment="1" applyProtection="1">
      <alignment horizontal="center"/>
    </xf>
    <xf numFmtId="9" fontId="10" fillId="2" borderId="0" xfId="0" applyNumberFormat="1" applyFont="1" applyFill="1" applyBorder="1" applyProtection="1"/>
    <xf numFmtId="167" fontId="10" fillId="2" borderId="7" xfId="0" applyNumberFormat="1" applyFont="1" applyFill="1" applyBorder="1" applyProtection="1"/>
    <xf numFmtId="0" fontId="10" fillId="0" borderId="0" xfId="0" applyFont="1" applyAlignment="1" applyProtection="1">
      <alignment horizontal="fill"/>
    </xf>
    <xf numFmtId="167" fontId="10" fillId="2" borderId="2" xfId="0" applyNumberFormat="1" applyFont="1" applyFill="1" applyBorder="1" applyProtection="1"/>
    <xf numFmtId="166" fontId="10" fillId="2" borderId="2" xfId="0" applyNumberFormat="1" applyFont="1" applyFill="1" applyBorder="1" applyProtection="1"/>
    <xf numFmtId="166" fontId="10" fillId="2" borderId="5" xfId="0" applyNumberFormat="1" applyFont="1" applyFill="1" applyBorder="1" applyProtection="1"/>
    <xf numFmtId="0" fontId="10" fillId="2" borderId="4" xfId="0" applyFont="1" applyFill="1" applyBorder="1" applyProtection="1"/>
    <xf numFmtId="166" fontId="10" fillId="2" borderId="8" xfId="0" applyNumberFormat="1" applyFont="1" applyFill="1" applyBorder="1" applyProtection="1"/>
    <xf numFmtId="9" fontId="10" fillId="2" borderId="2" xfId="0" applyNumberFormat="1" applyFont="1" applyFill="1" applyBorder="1" applyProtection="1"/>
    <xf numFmtId="166" fontId="10" fillId="2" borderId="3" xfId="0" applyNumberFormat="1" applyFont="1" applyFill="1" applyBorder="1" applyAlignment="1" applyProtection="1">
      <alignment horizontal="left"/>
    </xf>
    <xf numFmtId="0" fontId="10" fillId="2" borderId="0" xfId="0" quotePrefix="1" applyFont="1" applyFill="1" applyBorder="1" applyProtection="1"/>
    <xf numFmtId="166" fontId="10" fillId="2" borderId="5" xfId="0" applyNumberFormat="1" applyFont="1" applyFill="1" applyBorder="1" applyAlignment="1" applyProtection="1">
      <alignment horizontal="left"/>
    </xf>
    <xf numFmtId="0" fontId="12" fillId="2" borderId="0" xfId="0" applyFont="1" applyFill="1" applyBorder="1" applyProtection="1">
      <protection locked="0"/>
    </xf>
    <xf numFmtId="0" fontId="10" fillId="2" borderId="0" xfId="0" applyFont="1" applyFill="1" applyBorder="1" applyAlignment="1" applyProtection="1">
      <alignment horizontal="right"/>
    </xf>
    <xf numFmtId="169" fontId="10" fillId="2" borderId="5" xfId="0" applyNumberFormat="1" applyFont="1" applyFill="1" applyBorder="1" applyAlignment="1" applyProtection="1">
      <alignment horizontal="center"/>
    </xf>
    <xf numFmtId="169" fontId="10" fillId="2" borderId="4" xfId="0" applyNumberFormat="1" applyFont="1" applyFill="1" applyBorder="1" applyProtection="1"/>
    <xf numFmtId="166" fontId="10" fillId="2" borderId="7" xfId="0" applyNumberFormat="1" applyFont="1" applyFill="1" applyBorder="1" applyProtection="1"/>
    <xf numFmtId="0" fontId="10" fillId="2" borderId="8" xfId="0" applyFont="1" applyFill="1" applyBorder="1" applyAlignment="1" applyProtection="1">
      <alignment horizontal="left"/>
    </xf>
    <xf numFmtId="0" fontId="10" fillId="0" borderId="1" xfId="0" quotePrefix="1" applyFont="1" applyBorder="1"/>
    <xf numFmtId="0" fontId="10" fillId="0" borderId="2" xfId="0" applyFont="1" applyBorder="1" applyAlignment="1" applyProtection="1">
      <alignment horizontal="left"/>
    </xf>
    <xf numFmtId="0" fontId="10" fillId="0" borderId="2" xfId="0" applyFont="1" applyBorder="1"/>
    <xf numFmtId="0" fontId="12" fillId="0" borderId="2" xfId="0" applyFont="1" applyBorder="1" applyAlignment="1" applyProtection="1">
      <alignment horizontal="left"/>
      <protection locked="0"/>
    </xf>
    <xf numFmtId="0" fontId="10" fillId="0" borderId="3" xfId="0" applyFont="1" applyBorder="1" applyAlignment="1">
      <alignment horizontal="right"/>
    </xf>
    <xf numFmtId="0" fontId="10" fillId="0" borderId="6" xfId="0" quotePrefix="1" applyFont="1" applyBorder="1" applyAlignment="1">
      <alignment horizontal="left" indent="2"/>
    </xf>
    <xf numFmtId="0" fontId="10" fillId="0" borderId="7" xfId="0" applyFont="1" applyBorder="1" applyAlignment="1" applyProtection="1">
      <alignment horizontal="left"/>
    </xf>
    <xf numFmtId="0" fontId="10" fillId="0" borderId="7" xfId="0" applyFont="1" applyBorder="1"/>
    <xf numFmtId="0" fontId="12" fillId="0" borderId="7" xfId="0" applyFont="1" applyBorder="1" applyAlignment="1" applyProtection="1">
      <alignment horizontal="left"/>
      <protection locked="0"/>
    </xf>
    <xf numFmtId="0" fontId="10" fillId="0" borderId="8" xfId="0" applyFont="1" applyBorder="1" applyAlignment="1">
      <alignment horizontal="right"/>
    </xf>
    <xf numFmtId="0" fontId="16" fillId="5" borderId="4" xfId="0" quotePrefix="1" applyFont="1" applyFill="1" applyBorder="1" applyAlignment="1">
      <alignment horizontal="left"/>
    </xf>
    <xf numFmtId="0" fontId="16" fillId="5" borderId="0" xfId="0" applyFont="1" applyFill="1" applyBorder="1"/>
    <xf numFmtId="0" fontId="16" fillId="5" borderId="4" xfId="0" applyFont="1" applyFill="1" applyBorder="1" applyAlignment="1">
      <alignment horizontal="center"/>
    </xf>
    <xf numFmtId="0" fontId="16" fillId="5" borderId="5" xfId="0" applyFont="1" applyFill="1" applyBorder="1"/>
    <xf numFmtId="0" fontId="16" fillId="5" borderId="4" xfId="0" applyFont="1" applyFill="1" applyBorder="1"/>
    <xf numFmtId="0" fontId="16" fillId="5" borderId="4" xfId="0" quotePrefix="1" applyFont="1" applyFill="1" applyBorder="1" applyAlignment="1" applyProtection="1">
      <alignment horizontal="center"/>
    </xf>
    <xf numFmtId="9" fontId="16" fillId="5" borderId="0" xfId="0" applyNumberFormat="1" applyFont="1" applyFill="1" applyBorder="1" applyProtection="1"/>
    <xf numFmtId="0" fontId="13" fillId="0" borderId="4" xfId="0" applyFont="1" applyBorder="1"/>
    <xf numFmtId="0" fontId="17" fillId="0" borderId="0" xfId="1" applyFont="1" applyAlignment="1" applyProtection="1">
      <alignment horizontal="center"/>
    </xf>
    <xf numFmtId="0" fontId="16" fillId="5" borderId="0" xfId="0" quotePrefix="1" applyFont="1" applyFill="1" applyBorder="1" applyAlignment="1" applyProtection="1">
      <alignment horizontal="center"/>
    </xf>
    <xf numFmtId="0" fontId="16" fillId="5" borderId="6" xfId="0" applyFont="1" applyFill="1" applyBorder="1"/>
    <xf numFmtId="0" fontId="16" fillId="5" borderId="7" xfId="0" applyFont="1" applyFill="1" applyBorder="1"/>
    <xf numFmtId="9" fontId="16" fillId="5" borderId="7" xfId="0" applyNumberFormat="1" applyFont="1" applyFill="1" applyBorder="1" applyProtection="1"/>
    <xf numFmtId="167" fontId="16" fillId="5" borderId="7" xfId="0" applyNumberFormat="1" applyFont="1" applyFill="1" applyBorder="1" applyProtection="1"/>
    <xf numFmtId="167" fontId="16" fillId="5" borderId="8" xfId="0" applyNumberFormat="1" applyFont="1" applyFill="1" applyBorder="1" applyProtection="1"/>
    <xf numFmtId="0" fontId="10" fillId="0" borderId="0" xfId="0" applyFont="1" applyProtection="1"/>
    <xf numFmtId="0" fontId="10" fillId="0" borderId="0" xfId="0" applyFont="1"/>
    <xf numFmtId="169" fontId="10" fillId="0" borderId="0" xfId="0" applyNumberFormat="1" applyFont="1" applyProtection="1"/>
    <xf numFmtId="10" fontId="10" fillId="0" borderId="0" xfId="0" applyNumberFormat="1" applyFont="1" applyProtection="1"/>
    <xf numFmtId="0" fontId="18" fillId="0" borderId="0" xfId="0" applyFont="1" applyProtection="1"/>
    <xf numFmtId="0" fontId="18" fillId="0" borderId="0" xfId="0" applyFont="1"/>
    <xf numFmtId="169" fontId="18" fillId="0" borderId="0" xfId="0" applyNumberFormat="1" applyFont="1" applyProtection="1"/>
    <xf numFmtId="166" fontId="18" fillId="0" borderId="0" xfId="0" applyNumberFormat="1" applyFont="1" applyProtection="1"/>
    <xf numFmtId="0" fontId="13" fillId="0" borderId="0" xfId="0" applyFont="1"/>
    <xf numFmtId="0" fontId="10" fillId="0" borderId="0" xfId="2" applyFont="1"/>
    <xf numFmtId="0" fontId="20" fillId="0" borderId="7" xfId="1" applyFont="1" applyFill="1" applyBorder="1" applyAlignment="1" applyProtection="1">
      <alignment horizontal="center"/>
    </xf>
    <xf numFmtId="0" fontId="16" fillId="5" borderId="0" xfId="3" applyFont="1" applyFill="1" applyBorder="1" applyProtection="1"/>
    <xf numFmtId="0" fontId="21" fillId="5" borderId="0" xfId="3" applyFont="1" applyFill="1" applyBorder="1"/>
    <xf numFmtId="0" fontId="21" fillId="5" borderId="0" xfId="3" applyFont="1" applyFill="1" applyBorder="1" applyProtection="1"/>
    <xf numFmtId="169" fontId="21" fillId="5" borderId="0" xfId="3" applyNumberFormat="1" applyFont="1" applyFill="1" applyBorder="1" applyProtection="1"/>
    <xf numFmtId="0" fontId="12" fillId="4" borderId="12" xfId="0" applyFont="1" applyFill="1" applyBorder="1" applyAlignment="1" applyProtection="1">
      <alignment horizontal="left" indent="1"/>
      <protection locked="0"/>
    </xf>
    <xf numFmtId="0" fontId="12" fillId="4" borderId="11" xfId="0" applyFont="1" applyFill="1" applyBorder="1" applyAlignment="1" applyProtection="1">
      <alignment horizontal="left"/>
      <protection locked="0"/>
    </xf>
    <xf numFmtId="0" fontId="13" fillId="4" borderId="12" xfId="0" applyFont="1" applyFill="1" applyBorder="1" applyAlignment="1"/>
    <xf numFmtId="169" fontId="12" fillId="4" borderId="9" xfId="0" applyNumberFormat="1" applyFont="1" applyFill="1" applyBorder="1" applyProtection="1">
      <protection locked="0"/>
    </xf>
    <xf numFmtId="172" fontId="12" fillId="4" borderId="9" xfId="0" applyNumberFormat="1" applyFont="1" applyFill="1" applyBorder="1" applyProtection="1">
      <protection locked="0"/>
    </xf>
  </cellXfs>
  <cellStyles count="4">
    <cellStyle name="Hyperlink" xfId="1" builtinId="8"/>
    <cellStyle name="Normal" xfId="0" builtinId="0"/>
    <cellStyle name="Normal_Oats" xfId="3" xr:uid="{00000000-0005-0000-0000-000002000000}"/>
    <cellStyle name="Normal_Raspc2" xfId="2" xr:uid="{00000000-0005-0000-0000-000003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322428</xdr:colOff>
      <xdr:row>2</xdr:row>
      <xdr:rowOff>179568</xdr:rowOff>
    </xdr:to>
    <xdr:pic>
      <xdr:nvPicPr>
        <xdr:cNvPr id="3" name="Picture 2" descr="This is the Ontario Trillium logo">
          <a:extLst>
            <a:ext uri="{FF2B5EF4-FFF2-40B4-BE49-F238E27FC236}">
              <a16:creationId xmlns:a16="http://schemas.microsoft.com/office/drawing/2014/main" id="{A0B2A9C2-A3E9-4D6B-A315-627EF4768732}"/>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190500"/>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B311"/>
  <sheetViews>
    <sheetView showGridLines="0" tabSelected="1" zoomScaleNormal="100" workbookViewId="0">
      <selection activeCell="A4" sqref="A4"/>
    </sheetView>
  </sheetViews>
  <sheetFormatPr defaultColWidth="8.83203125" defaultRowHeight="13.3" x14ac:dyDescent="0.25"/>
  <cols>
    <col min="1" max="1" width="19.08203125" style="212" customWidth="1"/>
    <col min="2" max="2" width="13.75" style="212" customWidth="1"/>
    <col min="3" max="3" width="17.33203125" style="212" customWidth="1"/>
    <col min="4" max="7" width="15.83203125" style="212" customWidth="1"/>
    <col min="8" max="8" width="13.58203125" style="212" customWidth="1"/>
    <col min="9" max="9" width="27.33203125" hidden="1" customWidth="1"/>
    <col min="10" max="10" width="9.58203125" hidden="1" customWidth="1"/>
    <col min="11" max="11" width="10.5" hidden="1" customWidth="1"/>
    <col min="12" max="12" width="9.58203125" hidden="1" customWidth="1"/>
    <col min="13" max="13" width="16.75" hidden="1" customWidth="1"/>
    <col min="14" max="18" width="9.58203125" hidden="1" customWidth="1"/>
    <col min="19" max="19" width="7.58203125" hidden="1" customWidth="1"/>
    <col min="20" max="20" width="2.58203125" hidden="1" customWidth="1"/>
    <col min="21" max="21" width="16.58203125" hidden="1" customWidth="1"/>
    <col min="22" max="28" width="9.58203125" hidden="1" customWidth="1"/>
    <col min="29" max="40" width="8.83203125" customWidth="1"/>
    <col min="41" max="41" width="11.58203125" customWidth="1"/>
    <col min="42" max="49" width="7.58203125" customWidth="1"/>
    <col min="50" max="50" width="5.58203125" customWidth="1"/>
    <col min="51" max="240" width="8.83203125" customWidth="1"/>
    <col min="241" max="241" width="7.58203125" customWidth="1"/>
    <col min="242" max="242" width="2.58203125" customWidth="1"/>
    <col min="243" max="249" width="8.83203125" customWidth="1"/>
    <col min="250" max="250" width="7.58203125" customWidth="1"/>
    <col min="251" max="251" width="2.58203125" customWidth="1"/>
  </cols>
  <sheetData>
    <row r="1" spans="1:16" ht="15.45" x14ac:dyDescent="0.4">
      <c r="A1" s="213" t="s">
        <v>176</v>
      </c>
    </row>
    <row r="2" spans="1:16" ht="18" x14ac:dyDescent="0.4">
      <c r="A2" s="17"/>
      <c r="B2" s="18"/>
      <c r="C2" s="19" t="s">
        <v>175</v>
      </c>
      <c r="D2" s="18"/>
      <c r="E2" s="18"/>
      <c r="F2" s="18"/>
      <c r="G2" s="19" t="s">
        <v>178</v>
      </c>
      <c r="H2" s="20"/>
      <c r="I2" s="2"/>
      <c r="J2" s="2"/>
      <c r="K2" s="2"/>
    </row>
    <row r="3" spans="1:16" ht="15.45" x14ac:dyDescent="0.4">
      <c r="A3" s="21">
        <v>203</v>
      </c>
      <c r="B3" s="22"/>
      <c r="C3" s="22"/>
      <c r="D3" s="22"/>
      <c r="E3" s="22"/>
      <c r="F3" s="23" t="str">
        <f>IF(D25="N","Profit / porc :",IF(D25="Y","Profit/ kg:","INCORRECT"))</f>
        <v>Profit / porc :</v>
      </c>
      <c r="G3" s="24"/>
      <c r="H3" s="25">
        <f ca="1">E125</f>
        <v>-23.323497652205923</v>
      </c>
      <c r="I3" s="2"/>
      <c r="J3" s="2"/>
      <c r="K3" s="2"/>
    </row>
    <row r="4" spans="1:16" ht="15.45" x14ac:dyDescent="0.4">
      <c r="A4" s="26"/>
      <c r="B4" s="27"/>
      <c r="C4" s="27"/>
      <c r="D4" s="27"/>
      <c r="E4" s="27"/>
      <c r="F4" s="27"/>
      <c r="G4" s="28" t="s">
        <v>0</v>
      </c>
      <c r="H4" s="29"/>
      <c r="I4" s="2"/>
      <c r="J4" s="2"/>
      <c r="K4" s="2"/>
    </row>
    <row r="5" spans="1:16" ht="15.45" x14ac:dyDescent="0.4">
      <c r="A5" s="30" t="s">
        <v>57</v>
      </c>
      <c r="B5" s="31"/>
      <c r="C5" s="31"/>
      <c r="D5" s="31"/>
      <c r="E5" s="31"/>
      <c r="F5" s="31"/>
      <c r="G5" s="32"/>
      <c r="H5" s="33"/>
      <c r="I5" s="2"/>
      <c r="J5" s="2"/>
      <c r="K5" s="2"/>
    </row>
    <row r="6" spans="1:16" ht="15.45" x14ac:dyDescent="0.4">
      <c r="A6" s="17" t="s">
        <v>58</v>
      </c>
      <c r="B6" s="18"/>
      <c r="C6" s="18"/>
      <c r="D6" s="34">
        <v>4000</v>
      </c>
      <c r="E6" s="19" t="s">
        <v>166</v>
      </c>
      <c r="F6" s="18"/>
      <c r="G6" s="18"/>
      <c r="H6" s="35">
        <f>52/((D7)/D6)</f>
        <v>9043.4782608695659</v>
      </c>
      <c r="I6" s="2"/>
      <c r="J6" s="2"/>
      <c r="K6" s="2"/>
    </row>
    <row r="7" spans="1:16" ht="15.45" x14ac:dyDescent="0.4">
      <c r="A7" s="36" t="s">
        <v>59</v>
      </c>
      <c r="B7" s="22"/>
      <c r="C7" s="22"/>
      <c r="D7" s="34">
        <v>23</v>
      </c>
      <c r="E7" s="37" t="s">
        <v>167</v>
      </c>
      <c r="F7" s="38"/>
      <c r="G7" s="38"/>
      <c r="H7" s="39">
        <f>ROUND(D9*F28/100,0)</f>
        <v>8139</v>
      </c>
      <c r="I7" s="2"/>
      <c r="J7" s="2"/>
      <c r="K7" s="2"/>
    </row>
    <row r="8" spans="1:16" ht="15.45" x14ac:dyDescent="0.4">
      <c r="A8" s="36"/>
      <c r="B8" s="22"/>
      <c r="C8" s="22"/>
      <c r="D8" s="40"/>
      <c r="E8" s="37" t="s">
        <v>84</v>
      </c>
      <c r="F8" s="38"/>
      <c r="G8" s="38"/>
      <c r="H8" s="39">
        <f>H7*D12</f>
        <v>862734</v>
      </c>
      <c r="I8" s="2"/>
      <c r="J8" s="2"/>
      <c r="K8" s="4">
        <v>0</v>
      </c>
    </row>
    <row r="9" spans="1:16" ht="15.45" x14ac:dyDescent="0.4">
      <c r="A9" s="36" t="s">
        <v>77</v>
      </c>
      <c r="B9" s="22"/>
      <c r="C9" s="22"/>
      <c r="D9" s="41">
        <f>52/D7*D6</f>
        <v>9043.4782608695641</v>
      </c>
      <c r="E9" s="37" t="s">
        <v>83</v>
      </c>
      <c r="F9" s="42"/>
      <c r="G9" s="42"/>
      <c r="H9" s="43"/>
      <c r="I9" s="2"/>
      <c r="J9" s="2"/>
      <c r="K9" s="4">
        <f ca="1">IF(D9&lt;=0,0,+H107)</f>
        <v>1947365.6073913041</v>
      </c>
    </row>
    <row r="10" spans="1:16" ht="15.45" x14ac:dyDescent="0.4">
      <c r="A10" s="36" t="s">
        <v>78</v>
      </c>
      <c r="B10" s="22"/>
      <c r="C10" s="22"/>
      <c r="D10" s="34">
        <v>5</v>
      </c>
      <c r="E10" s="38"/>
      <c r="F10" s="38"/>
      <c r="G10" s="38"/>
      <c r="H10" s="43"/>
      <c r="I10" s="2"/>
      <c r="J10" s="2"/>
      <c r="K10" s="4">
        <f>IF(D9&lt;=0,0,+H116)</f>
        <v>166523.94</v>
      </c>
    </row>
    <row r="11" spans="1:16" ht="15.45" x14ac:dyDescent="0.4">
      <c r="A11" s="36" t="s">
        <v>79</v>
      </c>
      <c r="B11" s="22"/>
      <c r="C11" s="44"/>
      <c r="D11" s="34">
        <v>132.5</v>
      </c>
      <c r="E11" s="45"/>
      <c r="F11" s="46"/>
      <c r="G11" s="46"/>
      <c r="H11" s="47"/>
      <c r="I11" s="2"/>
      <c r="J11" s="2"/>
      <c r="K11" s="4">
        <f>IF(D9&lt;=0,0,+F119)</f>
        <v>1924059.6</v>
      </c>
    </row>
    <row r="12" spans="1:16" ht="15.45" x14ac:dyDescent="0.4">
      <c r="A12" s="36" t="s">
        <v>80</v>
      </c>
      <c r="B12" s="22"/>
      <c r="C12" s="44"/>
      <c r="D12" s="34">
        <v>106</v>
      </c>
      <c r="E12" s="45"/>
      <c r="F12" s="46"/>
      <c r="G12" s="46"/>
      <c r="H12" s="47"/>
      <c r="I12" s="2"/>
      <c r="J12" s="2"/>
      <c r="K12" s="4">
        <f>IF(D9&lt;=0,0,+I146)</f>
        <v>641767.50321421423</v>
      </c>
    </row>
    <row r="13" spans="1:16" ht="15.45" x14ac:dyDescent="0.4">
      <c r="A13" s="36" t="s">
        <v>81</v>
      </c>
      <c r="B13" s="22"/>
      <c r="C13" s="44"/>
      <c r="D13" s="34">
        <v>110</v>
      </c>
      <c r="E13" s="37" t="s">
        <v>168</v>
      </c>
      <c r="F13" s="22"/>
      <c r="G13" s="44"/>
      <c r="H13" s="43"/>
      <c r="I13" s="2"/>
      <c r="J13" s="2"/>
      <c r="K13" s="2"/>
      <c r="O13" t="s">
        <v>66</v>
      </c>
    </row>
    <row r="14" spans="1:16" ht="15.45" x14ac:dyDescent="0.4">
      <c r="A14" s="48"/>
      <c r="B14" s="22"/>
      <c r="C14" s="42"/>
      <c r="D14" s="22"/>
      <c r="E14" s="49" t="str">
        <f t="shared" ref="E14:E19" si="0">A16</f>
        <v>Pouponnière # 1</v>
      </c>
      <c r="F14" s="50"/>
      <c r="G14" s="50"/>
      <c r="H14" s="51">
        <f>C16*(D9*0.96)/1000</f>
        <v>15.453495652173913</v>
      </c>
      <c r="I14" s="2">
        <f>D9*0.96</f>
        <v>8681.7391304347821</v>
      </c>
      <c r="J14" s="2" t="s">
        <v>53</v>
      </c>
      <c r="K14" s="1" t="s">
        <v>39</v>
      </c>
      <c r="M14" t="s">
        <v>60</v>
      </c>
      <c r="N14">
        <v>1271</v>
      </c>
      <c r="O14">
        <f t="shared" ref="O14:O19" si="1">H14*N14</f>
        <v>19641.392973913044</v>
      </c>
    </row>
    <row r="15" spans="1:16" ht="15.45" x14ac:dyDescent="0.4">
      <c r="A15" s="36" t="s">
        <v>82</v>
      </c>
      <c r="B15" s="23"/>
      <c r="C15" s="52" t="s">
        <v>67</v>
      </c>
      <c r="D15" s="53"/>
      <c r="E15" s="49" t="str">
        <f t="shared" si="0"/>
        <v>Pouponnière # 2</v>
      </c>
      <c r="F15" s="54"/>
      <c r="G15" s="54"/>
      <c r="H15" s="51">
        <f>C17*(D9*0.96)/1000</f>
        <v>62.682156521739124</v>
      </c>
      <c r="I15" s="2"/>
      <c r="J15" s="2"/>
      <c r="K15" s="1" t="s">
        <v>38</v>
      </c>
      <c r="M15" t="s">
        <v>61</v>
      </c>
      <c r="N15">
        <v>413</v>
      </c>
      <c r="O15">
        <f t="shared" si="1"/>
        <v>25887.730643478259</v>
      </c>
    </row>
    <row r="16" spans="1:16" ht="15.45" x14ac:dyDescent="0.4">
      <c r="A16" s="55" t="s">
        <v>60</v>
      </c>
      <c r="B16" s="219"/>
      <c r="C16" s="34">
        <v>1.78</v>
      </c>
      <c r="D16" s="53"/>
      <c r="E16" s="49" t="str">
        <f t="shared" si="0"/>
        <v>Pouponnière # 3</v>
      </c>
      <c r="F16" s="54"/>
      <c r="G16" s="54"/>
      <c r="H16" s="51">
        <f>C18*(D9*0.96)/1000</f>
        <v>212.70260869565217</v>
      </c>
      <c r="I16" s="2"/>
      <c r="J16" s="2"/>
      <c r="K16" s="6">
        <f>H7</f>
        <v>8139</v>
      </c>
      <c r="M16" t="s">
        <v>62</v>
      </c>
      <c r="N16">
        <v>315</v>
      </c>
      <c r="O16">
        <f t="shared" si="1"/>
        <v>67001.321739130435</v>
      </c>
      <c r="P16">
        <f>SUM(O14:O16)</f>
        <v>112530.44535652174</v>
      </c>
    </row>
    <row r="17" spans="1:16" ht="15.45" x14ac:dyDescent="0.4">
      <c r="A17" s="55" t="s">
        <v>61</v>
      </c>
      <c r="B17" s="219"/>
      <c r="C17" s="34">
        <v>7.22</v>
      </c>
      <c r="D17" s="53"/>
      <c r="E17" s="56" t="str">
        <f t="shared" si="0"/>
        <v>Croissance-finition # 1</v>
      </c>
      <c r="F17" s="54"/>
      <c r="G17" s="54"/>
      <c r="H17" s="51">
        <f>C19*H7/1000</f>
        <v>366.255</v>
      </c>
      <c r="I17" s="2"/>
      <c r="J17" s="2"/>
      <c r="K17" s="6">
        <f>SUM(H80:H81)</f>
        <v>477405.21739130426</v>
      </c>
      <c r="M17" t="s">
        <v>63</v>
      </c>
      <c r="N17">
        <v>254</v>
      </c>
      <c r="O17">
        <f t="shared" si="1"/>
        <v>93028.77</v>
      </c>
    </row>
    <row r="18" spans="1:16" ht="15.45" x14ac:dyDescent="0.4">
      <c r="A18" s="55" t="s">
        <v>62</v>
      </c>
      <c r="B18" s="219"/>
      <c r="C18" s="34">
        <v>24.5</v>
      </c>
      <c r="D18" s="45"/>
      <c r="E18" s="57" t="str">
        <f t="shared" si="0"/>
        <v>Croissance-finition # 2</v>
      </c>
      <c r="F18" s="46"/>
      <c r="G18" s="46"/>
      <c r="H18" s="58">
        <f>C20*H7/1000</f>
        <v>691.81500000000005</v>
      </c>
      <c r="I18" s="2"/>
      <c r="J18" s="2"/>
      <c r="K18" s="7">
        <f>SUM(H50:H64)</f>
        <v>1212141.27</v>
      </c>
      <c r="M18" t="s">
        <v>64</v>
      </c>
      <c r="N18">
        <v>239</v>
      </c>
      <c r="O18">
        <f t="shared" si="1"/>
        <v>165343.785</v>
      </c>
    </row>
    <row r="19" spans="1:16" ht="15.45" x14ac:dyDescent="0.4">
      <c r="A19" s="55" t="s">
        <v>63</v>
      </c>
      <c r="B19" s="219"/>
      <c r="C19" s="34">
        <v>45</v>
      </c>
      <c r="D19" s="45"/>
      <c r="E19" s="57" t="str">
        <f t="shared" si="0"/>
        <v>Croissance-finition # 3</v>
      </c>
      <c r="F19" s="46"/>
      <c r="G19" s="46"/>
      <c r="H19" s="58">
        <f>C21*H7/1000</f>
        <v>1310.3789999999999</v>
      </c>
      <c r="I19" s="2"/>
      <c r="J19" s="2"/>
      <c r="K19" s="6" t="e">
        <f>H87+#REF!</f>
        <v>#REF!</v>
      </c>
      <c r="M19" t="s">
        <v>65</v>
      </c>
      <c r="N19">
        <v>229</v>
      </c>
      <c r="O19">
        <f t="shared" si="1"/>
        <v>300076.79099999997</v>
      </c>
      <c r="P19">
        <f>SUM(O17:O19)</f>
        <v>558449.3459999999</v>
      </c>
    </row>
    <row r="20" spans="1:16" ht="15.45" x14ac:dyDescent="0.4">
      <c r="A20" s="55" t="s">
        <v>64</v>
      </c>
      <c r="B20" s="219"/>
      <c r="C20" s="34">
        <v>85</v>
      </c>
      <c r="D20" s="53"/>
      <c r="E20" s="22"/>
      <c r="F20" s="22"/>
      <c r="G20" s="22"/>
      <c r="H20" s="59"/>
      <c r="I20" s="2"/>
      <c r="J20" s="2"/>
      <c r="K20" s="6">
        <f>SUM(H86,H88,H91,H94)</f>
        <v>89203.44</v>
      </c>
      <c r="O20">
        <f>SUM(O14:O19)</f>
        <v>670979.79135652166</v>
      </c>
    </row>
    <row r="21" spans="1:16" ht="15.45" x14ac:dyDescent="0.4">
      <c r="A21" s="55" t="s">
        <v>65</v>
      </c>
      <c r="B21" s="219"/>
      <c r="C21" s="34">
        <v>161</v>
      </c>
      <c r="D21" s="53"/>
      <c r="E21" s="37" t="s">
        <v>169</v>
      </c>
      <c r="F21" s="23"/>
      <c r="G21" s="22"/>
      <c r="H21" s="43">
        <f>(H14+H15+H16+H17+H18+H19)*1000/(H7*(D11-D10))</f>
        <v>2.5626188705261428</v>
      </c>
      <c r="I21" s="7"/>
      <c r="J21" s="2"/>
      <c r="K21" s="6" t="e">
        <f>H89+#REF!</f>
        <v>#REF!</v>
      </c>
    </row>
    <row r="22" spans="1:16" ht="15.45" x14ac:dyDescent="0.4">
      <c r="A22" s="36"/>
      <c r="B22" s="60"/>
      <c r="C22" s="61"/>
      <c r="D22" s="53"/>
      <c r="E22" s="22"/>
      <c r="F22" s="22"/>
      <c r="G22" s="22"/>
      <c r="H22" s="59"/>
      <c r="I22" s="2"/>
      <c r="J22" s="2"/>
      <c r="K22" s="6">
        <f>H92+H93</f>
        <v>0</v>
      </c>
    </row>
    <row r="23" spans="1:16" ht="15.45" hidden="1" x14ac:dyDescent="0.4">
      <c r="A23" s="62" t="s">
        <v>3</v>
      </c>
      <c r="B23" s="63"/>
      <c r="C23" s="64"/>
      <c r="D23" s="65"/>
      <c r="E23" s="64"/>
      <c r="F23" s="66"/>
      <c r="G23" s="66"/>
      <c r="H23" s="67"/>
      <c r="I23" s="2"/>
      <c r="J23" s="2"/>
      <c r="K23" s="2"/>
    </row>
    <row r="24" spans="1:16" ht="15.45" hidden="1" x14ac:dyDescent="0.4">
      <c r="A24" s="62" t="s">
        <v>68</v>
      </c>
      <c r="B24" s="66"/>
      <c r="C24" s="66"/>
      <c r="D24" s="68" t="s">
        <v>51</v>
      </c>
      <c r="E24" s="66"/>
      <c r="F24" s="66"/>
      <c r="G24" s="63"/>
      <c r="H24" s="69"/>
      <c r="I24" s="2"/>
      <c r="J24" s="2"/>
      <c r="K24" s="2"/>
    </row>
    <row r="25" spans="1:16" ht="15.45" hidden="1" x14ac:dyDescent="0.4">
      <c r="A25" s="70" t="s">
        <v>4</v>
      </c>
      <c r="B25" s="71"/>
      <c r="C25" s="72"/>
      <c r="D25" s="73" t="str">
        <f>IF(UPPER(D24)="Y","N",IF(UPPER(D24)="N","Y","INCORRECT"))</f>
        <v>N</v>
      </c>
      <c r="E25" s="74"/>
      <c r="F25" s="75"/>
      <c r="G25" s="75"/>
      <c r="H25" s="76"/>
      <c r="I25" s="2"/>
      <c r="J25" s="2"/>
      <c r="K25" s="2"/>
    </row>
    <row r="26" spans="1:16" ht="15.45" x14ac:dyDescent="0.4">
      <c r="A26" s="77"/>
      <c r="B26" s="78"/>
      <c r="C26" s="79"/>
      <c r="D26" s="80"/>
      <c r="E26" s="81"/>
      <c r="F26" s="82"/>
      <c r="G26" s="82"/>
      <c r="H26" s="83"/>
      <c r="I26" s="2"/>
      <c r="J26" s="2"/>
      <c r="K26" s="2"/>
    </row>
    <row r="27" spans="1:16" ht="15.45" x14ac:dyDescent="0.4">
      <c r="A27" s="17" t="s">
        <v>85</v>
      </c>
      <c r="B27" s="18"/>
      <c r="C27" s="84"/>
      <c r="D27" s="18"/>
      <c r="E27" s="85" t="s">
        <v>88</v>
      </c>
      <c r="F27" s="85" t="s">
        <v>89</v>
      </c>
      <c r="G27" s="85" t="s">
        <v>90</v>
      </c>
      <c r="H27" s="86"/>
      <c r="I27" s="2"/>
      <c r="J27" s="2"/>
      <c r="K27" s="2"/>
    </row>
    <row r="28" spans="1:16" ht="15.45" x14ac:dyDescent="0.4">
      <c r="A28" s="36" t="s">
        <v>86</v>
      </c>
      <c r="B28" s="22"/>
      <c r="C28" s="22"/>
      <c r="D28" s="22"/>
      <c r="E28" s="34">
        <v>94</v>
      </c>
      <c r="F28" s="34">
        <v>90</v>
      </c>
      <c r="G28" s="34">
        <v>86</v>
      </c>
      <c r="H28" s="59"/>
      <c r="I28" s="2"/>
      <c r="J28" s="2"/>
      <c r="K28" s="2"/>
    </row>
    <row r="29" spans="1:16" ht="15.45" x14ac:dyDescent="0.4">
      <c r="A29" s="36" t="s">
        <v>87</v>
      </c>
      <c r="B29" s="22"/>
      <c r="C29" s="87" t="s">
        <v>93</v>
      </c>
      <c r="D29" s="22"/>
      <c r="E29" s="34">
        <v>240</v>
      </c>
      <c r="F29" s="34">
        <v>236.4</v>
      </c>
      <c r="G29" s="34">
        <v>163</v>
      </c>
      <c r="H29" s="39"/>
      <c r="I29" s="2"/>
      <c r="J29" s="2"/>
      <c r="K29" s="2"/>
    </row>
    <row r="30" spans="1:16" ht="15.45" x14ac:dyDescent="0.4">
      <c r="A30" s="36" t="s">
        <v>92</v>
      </c>
      <c r="B30" s="22"/>
      <c r="C30" s="87" t="s">
        <v>94</v>
      </c>
      <c r="D30" s="22"/>
      <c r="E30" s="34">
        <v>55</v>
      </c>
      <c r="F30" s="34">
        <v>52.79</v>
      </c>
      <c r="G30" s="34">
        <v>33</v>
      </c>
      <c r="H30" s="39"/>
      <c r="I30" s="9"/>
      <c r="J30" s="2"/>
      <c r="K30" s="2"/>
    </row>
    <row r="31" spans="1:16" ht="15.45" hidden="1" x14ac:dyDescent="0.4">
      <c r="A31" s="62" t="s">
        <v>1</v>
      </c>
      <c r="B31" s="66"/>
      <c r="C31" s="88"/>
      <c r="D31" s="66"/>
      <c r="E31" s="68">
        <v>1000</v>
      </c>
      <c r="F31" s="68">
        <v>295</v>
      </c>
      <c r="G31" s="68">
        <v>200</v>
      </c>
      <c r="H31" s="89" t="s">
        <v>52</v>
      </c>
      <c r="I31" s="2"/>
      <c r="J31" s="2"/>
      <c r="K31" s="2"/>
    </row>
    <row r="32" spans="1:16" ht="15.45" hidden="1" x14ac:dyDescent="0.4">
      <c r="A32" s="62" t="s">
        <v>2</v>
      </c>
      <c r="B32" s="66"/>
      <c r="C32" s="88"/>
      <c r="D32" s="66"/>
      <c r="E32" s="68">
        <v>1000</v>
      </c>
      <c r="F32" s="68">
        <v>425</v>
      </c>
      <c r="G32" s="68">
        <v>350</v>
      </c>
      <c r="H32" s="90" t="s">
        <v>52</v>
      </c>
      <c r="I32" s="2"/>
      <c r="J32" s="2"/>
      <c r="K32" s="2"/>
    </row>
    <row r="33" spans="1:11" ht="15.45" x14ac:dyDescent="0.4">
      <c r="A33" s="26" t="s">
        <v>95</v>
      </c>
      <c r="B33" s="27"/>
      <c r="C33" s="27"/>
      <c r="D33" s="27"/>
      <c r="E33" s="27"/>
      <c r="F33" s="34">
        <v>20</v>
      </c>
      <c r="G33" s="91" t="s">
        <v>96</v>
      </c>
      <c r="H33" s="92"/>
      <c r="I33" s="2"/>
      <c r="J33" s="2"/>
      <c r="K33" s="2"/>
    </row>
    <row r="34" spans="1:11" ht="15.45" x14ac:dyDescent="0.4">
      <c r="A34" s="93"/>
      <c r="B34" s="94"/>
      <c r="C34" s="95"/>
      <c r="D34" s="96"/>
      <c r="E34" s="96"/>
      <c r="F34" s="97"/>
      <c r="G34" s="97"/>
      <c r="H34" s="98"/>
      <c r="I34" s="2"/>
      <c r="J34" s="2"/>
      <c r="K34" s="2"/>
    </row>
    <row r="35" spans="1:11" ht="15.45" x14ac:dyDescent="0.4">
      <c r="A35" s="99" t="s">
        <v>170</v>
      </c>
      <c r="B35" s="18"/>
      <c r="C35" s="100"/>
      <c r="D35" s="18"/>
      <c r="E35" s="101"/>
      <c r="F35" s="102"/>
      <c r="G35" s="85" t="s">
        <v>91</v>
      </c>
      <c r="H35" s="103" t="s">
        <v>91</v>
      </c>
      <c r="I35" s="2"/>
      <c r="J35" s="2"/>
      <c r="K35" s="2"/>
    </row>
    <row r="36" spans="1:11" ht="15.45" x14ac:dyDescent="0.4">
      <c r="A36" s="36" t="s">
        <v>97</v>
      </c>
      <c r="B36" s="22"/>
      <c r="C36" s="50"/>
      <c r="D36" s="22"/>
      <c r="E36" s="52" t="s">
        <v>99</v>
      </c>
      <c r="F36" s="104"/>
      <c r="G36" s="52" t="str">
        <f>G48</f>
        <v>$/porc</v>
      </c>
      <c r="H36" s="105" t="s">
        <v>72</v>
      </c>
      <c r="I36" s="7"/>
      <c r="J36" s="2"/>
      <c r="K36" s="2"/>
    </row>
    <row r="37" spans="1:11" s="16" customFormat="1" ht="15.45" hidden="1" x14ac:dyDescent="0.4">
      <c r="A37" s="62" t="s">
        <v>5</v>
      </c>
      <c r="B37" s="66"/>
      <c r="C37" s="106"/>
      <c r="D37" s="66"/>
      <c r="E37" s="68">
        <v>0</v>
      </c>
      <c r="F37" s="107"/>
      <c r="G37" s="63">
        <f>H37/G50</f>
        <v>0</v>
      </c>
      <c r="H37" s="69">
        <f>E37*F31</f>
        <v>0</v>
      </c>
      <c r="I37" s="14"/>
      <c r="J37" s="15"/>
      <c r="K37" s="14"/>
    </row>
    <row r="38" spans="1:11" s="16" customFormat="1" ht="15.45" hidden="1" x14ac:dyDescent="0.4">
      <c r="A38" s="62" t="s">
        <v>6</v>
      </c>
      <c r="B38" s="66"/>
      <c r="C38" s="108"/>
      <c r="D38" s="66"/>
      <c r="E38" s="68">
        <v>0</v>
      </c>
      <c r="F38" s="107"/>
      <c r="G38" s="63">
        <f>H38/G50</f>
        <v>0</v>
      </c>
      <c r="H38" s="69">
        <f>E38*F32</f>
        <v>0</v>
      </c>
      <c r="I38" s="14"/>
      <c r="J38" s="14"/>
      <c r="K38" s="14"/>
    </row>
    <row r="39" spans="1:11" ht="15.45" x14ac:dyDescent="0.4">
      <c r="A39" s="36" t="s">
        <v>98</v>
      </c>
      <c r="B39" s="22"/>
      <c r="C39" s="24"/>
      <c r="D39" s="22"/>
      <c r="E39" s="42">
        <f>H7-E37-E38</f>
        <v>8139</v>
      </c>
      <c r="F39" s="42"/>
      <c r="G39" s="38">
        <f>H39/G50</f>
        <v>236.4</v>
      </c>
      <c r="H39" s="39">
        <f>E39*F29</f>
        <v>1924059.6</v>
      </c>
      <c r="I39" s="3"/>
      <c r="J39" s="3"/>
      <c r="K39" s="3"/>
    </row>
    <row r="40" spans="1:11" ht="15.45" x14ac:dyDescent="0.4">
      <c r="A40" s="109"/>
      <c r="B40" s="110"/>
      <c r="C40" s="110"/>
      <c r="D40" s="22"/>
      <c r="E40" s="110"/>
      <c r="F40" s="42"/>
      <c r="G40" s="37"/>
      <c r="H40" s="111"/>
      <c r="I40" s="7"/>
      <c r="J40" s="3"/>
      <c r="K40" s="3"/>
    </row>
    <row r="41" spans="1:11" ht="15.45" x14ac:dyDescent="0.4">
      <c r="A41" s="112"/>
      <c r="B41" s="91" t="s">
        <v>100</v>
      </c>
      <c r="C41" s="27"/>
      <c r="D41" s="113"/>
      <c r="E41" s="113">
        <f>SUM(E37:E39)</f>
        <v>8139</v>
      </c>
      <c r="F41" s="27"/>
      <c r="G41" s="114">
        <f>SUM(G37:G39)</f>
        <v>236.4</v>
      </c>
      <c r="H41" s="115">
        <f>SUM(H37:H39)</f>
        <v>1924059.6</v>
      </c>
      <c r="I41" s="3"/>
      <c r="J41" s="3"/>
      <c r="K41" s="3"/>
    </row>
    <row r="42" spans="1:11" ht="15.45" hidden="1" x14ac:dyDescent="0.4">
      <c r="A42" s="31"/>
      <c r="B42" s="116"/>
      <c r="C42" s="31"/>
      <c r="D42" s="117"/>
      <c r="E42" s="117"/>
      <c r="F42" s="31"/>
      <c r="G42" s="118"/>
      <c r="H42" s="119"/>
      <c r="I42" s="3"/>
      <c r="J42" s="3"/>
      <c r="K42" s="3"/>
    </row>
    <row r="43" spans="1:11" ht="15.45" hidden="1" x14ac:dyDescent="0.4">
      <c r="A43" s="120" t="s">
        <v>7</v>
      </c>
      <c r="B43" s="120" t="s">
        <v>7</v>
      </c>
      <c r="C43" s="120" t="s">
        <v>7</v>
      </c>
      <c r="D43" s="120" t="s">
        <v>7</v>
      </c>
      <c r="E43" s="120" t="s">
        <v>7</v>
      </c>
      <c r="F43" s="120" t="s">
        <v>7</v>
      </c>
      <c r="G43" s="120" t="s">
        <v>7</v>
      </c>
      <c r="H43" s="120" t="s">
        <v>7</v>
      </c>
      <c r="I43" s="2"/>
      <c r="J43" s="2"/>
      <c r="K43" s="2"/>
    </row>
    <row r="44" spans="1:11" ht="15.45" hidden="1" x14ac:dyDescent="0.4">
      <c r="A44" s="121" t="str">
        <f>IF(D24="Y","Number of porcs",(IF(D24="N","Kilograms of Pork",#VALUE!)))&amp;" to Base Frais variables on ==&gt; **"</f>
        <v>Number of porcs to Base Frais variables on ==&gt; **</v>
      </c>
      <c r="B44" s="122"/>
      <c r="C44" s="123"/>
      <c r="D44" s="122"/>
      <c r="E44" s="124"/>
      <c r="F44" s="122"/>
      <c r="G44" s="125">
        <f>H7</f>
        <v>8139</v>
      </c>
      <c r="H44" s="126" t="s">
        <v>69</v>
      </c>
      <c r="I44" s="7"/>
      <c r="J44" s="2"/>
      <c r="K44" s="2"/>
    </row>
    <row r="45" spans="1:11" ht="15.45" hidden="1" x14ac:dyDescent="0.4">
      <c r="A45" s="127" t="s">
        <v>74</v>
      </c>
      <c r="B45" s="122"/>
      <c r="C45" s="123"/>
      <c r="D45" s="122"/>
      <c r="E45" s="124"/>
      <c r="F45" s="124"/>
      <c r="G45" s="121" t="str">
        <f>IF(UPPER(LEFT(H44,1))=UPPER(LEFT(E66,1)),"","Choose porcs or Kg")</f>
        <v/>
      </c>
      <c r="H45" s="124"/>
      <c r="I45" s="7"/>
      <c r="J45" s="2"/>
      <c r="K45" s="2"/>
    </row>
    <row r="46" spans="1:11" ht="15.45" x14ac:dyDescent="0.4">
      <c r="A46" s="127"/>
      <c r="B46" s="122"/>
      <c r="C46" s="123"/>
      <c r="D46" s="122"/>
      <c r="E46" s="124"/>
      <c r="F46" s="124"/>
      <c r="G46" s="128"/>
      <c r="H46" s="124"/>
      <c r="I46" s="7"/>
      <c r="J46" s="2"/>
      <c r="K46" s="3"/>
    </row>
    <row r="47" spans="1:11" ht="15.45" x14ac:dyDescent="0.4">
      <c r="A47" s="17" t="s">
        <v>101</v>
      </c>
      <c r="B47" s="18"/>
      <c r="C47" s="129"/>
      <c r="D47" s="85" t="s">
        <v>102</v>
      </c>
      <c r="E47" s="85" t="s">
        <v>73</v>
      </c>
      <c r="F47" s="130"/>
      <c r="G47" s="130"/>
      <c r="H47" s="131" t="s">
        <v>73</v>
      </c>
      <c r="I47" s="7"/>
      <c r="J47" s="2"/>
      <c r="K47" s="2"/>
    </row>
    <row r="48" spans="1:11" ht="15.45" x14ac:dyDescent="0.4">
      <c r="A48" s="48"/>
      <c r="B48" s="22"/>
      <c r="C48" s="22"/>
      <c r="D48" s="52" t="str">
        <f>"/"&amp;IF(D24="Y","porc",(IF(D24="N","Kg Pork",#VALUE!)))</f>
        <v>/porc</v>
      </c>
      <c r="E48" s="52" t="str">
        <f>""&amp;FIXED(G44,0,TRUE)&amp;IF(D24="Y"," porcs",(IF(D24="N"," Kg",#VALUE!)))</f>
        <v>8139 porcs</v>
      </c>
      <c r="F48" s="61"/>
      <c r="G48" s="52" t="str">
        <f>IF(D24="Y","$/porc",(IF(D24="N","/Kg Pork",#VALUE!)))</f>
        <v>$/porc</v>
      </c>
      <c r="H48" s="105" t="str">
        <f>""&amp;FIXED(G50,0,TRUE)&amp;IF(D24="Y"," porcs",(IF(D24="N","Kg",#VALUE!)))</f>
        <v>8139 porcs</v>
      </c>
      <c r="I48" s="7"/>
      <c r="J48" s="2"/>
      <c r="K48" s="2"/>
    </row>
    <row r="49" spans="1:11" ht="15.45" x14ac:dyDescent="0.4">
      <c r="A49" s="36" t="s">
        <v>103</v>
      </c>
      <c r="B49" s="22"/>
      <c r="C49" s="22"/>
      <c r="D49" s="37"/>
      <c r="E49" s="37"/>
      <c r="F49" s="22"/>
      <c r="G49" s="37"/>
      <c r="H49" s="132"/>
      <c r="I49" s="2"/>
      <c r="J49" s="2"/>
      <c r="K49" s="2"/>
    </row>
    <row r="50" spans="1:11" ht="15.45" x14ac:dyDescent="0.4">
      <c r="A50" s="36" t="s">
        <v>104</v>
      </c>
      <c r="B50" s="23"/>
      <c r="C50" s="22"/>
      <c r="D50" s="38"/>
      <c r="E50" s="54"/>
      <c r="F50" s="22"/>
      <c r="G50" s="133">
        <f>IF(D25="N",H7,IF(D25="Y",H8,#VALUE!))</f>
        <v>8139</v>
      </c>
      <c r="H50" s="134"/>
      <c r="I50" s="7"/>
      <c r="J50" s="2"/>
      <c r="K50" s="2"/>
    </row>
    <row r="51" spans="1:11" ht="15.45" x14ac:dyDescent="0.4">
      <c r="A51" s="36" t="s">
        <v>105</v>
      </c>
      <c r="B51" s="23"/>
      <c r="C51" s="22"/>
      <c r="D51" s="222">
        <v>3.95</v>
      </c>
      <c r="E51" s="136">
        <v>0</v>
      </c>
      <c r="F51" s="22"/>
      <c r="G51" s="38">
        <f t="shared" ref="G51:G59" si="2">IF(D51=0,E51/$G$50,D51)</f>
        <v>3.95</v>
      </c>
      <c r="H51" s="39">
        <f>G51*G50</f>
        <v>32149.050000000003</v>
      </c>
      <c r="I51" s="7"/>
      <c r="J51" s="2"/>
      <c r="K51" s="2"/>
    </row>
    <row r="52" spans="1:11" ht="15.45" x14ac:dyDescent="0.4">
      <c r="A52" s="36" t="s">
        <v>106</v>
      </c>
      <c r="B52" s="23"/>
      <c r="C52" s="22"/>
      <c r="D52" s="222">
        <v>5.52</v>
      </c>
      <c r="E52" s="136">
        <v>0</v>
      </c>
      <c r="F52" s="38"/>
      <c r="G52" s="38">
        <f t="shared" si="2"/>
        <v>5.52</v>
      </c>
      <c r="H52" s="39">
        <f>G52*G50</f>
        <v>44927.28</v>
      </c>
      <c r="I52" s="7"/>
      <c r="J52" s="2"/>
      <c r="K52" s="2"/>
    </row>
    <row r="53" spans="1:11" ht="15.45" x14ac:dyDescent="0.4">
      <c r="A53" s="36" t="s">
        <v>107</v>
      </c>
      <c r="B53" s="23"/>
      <c r="C53" s="22"/>
      <c r="D53" s="222">
        <v>14.39</v>
      </c>
      <c r="E53" s="136">
        <v>0</v>
      </c>
      <c r="F53" s="22"/>
      <c r="G53" s="38">
        <f>IF(D53=0,E53/$G$50,D53)</f>
        <v>14.39</v>
      </c>
      <c r="H53" s="39">
        <f>G53*G50</f>
        <v>117120.21</v>
      </c>
      <c r="I53" s="7"/>
      <c r="J53" s="2"/>
      <c r="K53" s="2"/>
    </row>
    <row r="54" spans="1:11" ht="15.45" x14ac:dyDescent="0.4">
      <c r="A54" s="36" t="s">
        <v>108</v>
      </c>
      <c r="B54" s="23"/>
      <c r="C54" s="22"/>
      <c r="D54" s="222">
        <v>22.58</v>
      </c>
      <c r="E54" s="136">
        <v>0</v>
      </c>
      <c r="F54" s="38"/>
      <c r="G54" s="38">
        <f>IF(D54=0,E54/$G$50,D54)</f>
        <v>22.58</v>
      </c>
      <c r="H54" s="39">
        <f>G54*G50</f>
        <v>183778.62</v>
      </c>
      <c r="I54" s="2"/>
      <c r="J54" s="2"/>
      <c r="K54" s="2"/>
    </row>
    <row r="55" spans="1:11" ht="15.45" x14ac:dyDescent="0.4">
      <c r="A55" s="36" t="s">
        <v>109</v>
      </c>
      <c r="B55" s="23"/>
      <c r="C55" s="22"/>
      <c r="D55" s="222">
        <v>40.020000000000003</v>
      </c>
      <c r="E55" s="136">
        <v>0</v>
      </c>
      <c r="F55" s="22"/>
      <c r="G55" s="38">
        <f>IF(D55=0,E55/$G$50,D55)</f>
        <v>40.020000000000003</v>
      </c>
      <c r="H55" s="39">
        <f>G55*G50</f>
        <v>325722.78000000003</v>
      </c>
      <c r="I55" s="2"/>
      <c r="J55" s="2"/>
      <c r="K55" s="2"/>
    </row>
    <row r="56" spans="1:11" ht="15.45" x14ac:dyDescent="0.4">
      <c r="A56" s="36" t="s">
        <v>110</v>
      </c>
      <c r="B56" s="23"/>
      <c r="C56" s="22"/>
      <c r="D56" s="222">
        <v>62.47</v>
      </c>
      <c r="E56" s="136">
        <v>0</v>
      </c>
      <c r="F56" s="38"/>
      <c r="G56" s="38">
        <f>IF(D56=0,E56/$G$50,D56)</f>
        <v>62.47</v>
      </c>
      <c r="H56" s="39">
        <f>G56*G50</f>
        <v>508443.33</v>
      </c>
      <c r="I56" s="2"/>
      <c r="J56" s="2"/>
      <c r="K56" s="2"/>
    </row>
    <row r="57" spans="1:11" ht="15.45" x14ac:dyDescent="0.4">
      <c r="A57" s="36" t="s">
        <v>111</v>
      </c>
      <c r="B57" s="220" t="s">
        <v>9</v>
      </c>
      <c r="C57" s="221"/>
      <c r="D57" s="135">
        <v>0</v>
      </c>
      <c r="E57" s="136">
        <v>0</v>
      </c>
      <c r="F57" s="38"/>
      <c r="G57" s="38">
        <f t="shared" si="2"/>
        <v>0</v>
      </c>
      <c r="H57" s="39">
        <f>G57*G50</f>
        <v>0</v>
      </c>
      <c r="I57" s="2"/>
      <c r="J57" s="2"/>
      <c r="K57" s="2"/>
    </row>
    <row r="58" spans="1:11" ht="15.45" x14ac:dyDescent="0.4">
      <c r="A58" s="36" t="s">
        <v>112</v>
      </c>
      <c r="B58" s="220" t="s">
        <v>11</v>
      </c>
      <c r="C58" s="221"/>
      <c r="D58" s="135">
        <v>0</v>
      </c>
      <c r="E58" s="136">
        <v>0</v>
      </c>
      <c r="F58" s="38"/>
      <c r="G58" s="38">
        <f t="shared" si="2"/>
        <v>0</v>
      </c>
      <c r="H58" s="39">
        <f>G58*G50</f>
        <v>0</v>
      </c>
      <c r="I58" s="7"/>
      <c r="J58" s="2"/>
      <c r="K58" s="2"/>
    </row>
    <row r="59" spans="1:11" ht="15.45" x14ac:dyDescent="0.4">
      <c r="A59" s="36" t="s">
        <v>113</v>
      </c>
      <c r="B59" s="220" t="s">
        <v>11</v>
      </c>
      <c r="C59" s="221"/>
      <c r="D59" s="135">
        <v>0</v>
      </c>
      <c r="E59" s="136">
        <v>0</v>
      </c>
      <c r="F59" s="22"/>
      <c r="G59" s="38">
        <f t="shared" si="2"/>
        <v>0</v>
      </c>
      <c r="H59" s="39">
        <f>G59*G50</f>
        <v>0</v>
      </c>
      <c r="I59" s="7"/>
      <c r="J59" s="2"/>
      <c r="K59" s="2"/>
    </row>
    <row r="60" spans="1:11" ht="15.45" x14ac:dyDescent="0.4">
      <c r="A60" s="48"/>
      <c r="B60" s="22"/>
      <c r="C60" s="22"/>
      <c r="D60" s="22"/>
      <c r="E60" s="22"/>
      <c r="F60" s="22"/>
      <c r="G60" s="22"/>
      <c r="H60" s="59"/>
      <c r="I60" s="7"/>
      <c r="J60" s="2"/>
      <c r="K60" s="2"/>
    </row>
    <row r="61" spans="1:11" ht="13.5" customHeight="1" x14ac:dyDescent="0.4">
      <c r="A61" s="36" t="s">
        <v>114</v>
      </c>
      <c r="B61" s="22"/>
      <c r="C61" s="38"/>
      <c r="D61" s="135">
        <v>0</v>
      </c>
      <c r="E61" s="136">
        <v>0</v>
      </c>
      <c r="F61" s="38"/>
      <c r="G61" s="38">
        <f>IF(D61=0,E61/$G$50,D61)</f>
        <v>0</v>
      </c>
      <c r="H61" s="39">
        <f>G61*G50</f>
        <v>0</v>
      </c>
      <c r="I61" s="7"/>
      <c r="J61" s="2"/>
      <c r="K61" s="2"/>
    </row>
    <row r="62" spans="1:11" ht="15.45" x14ac:dyDescent="0.4">
      <c r="A62" s="36" t="s">
        <v>115</v>
      </c>
      <c r="B62" s="22"/>
      <c r="C62" s="22"/>
      <c r="D62" s="135">
        <v>0</v>
      </c>
      <c r="E62" s="136">
        <v>0</v>
      </c>
      <c r="F62" s="38"/>
      <c r="G62" s="38">
        <f>IF(D62=0,E62/$G$50,D62)</f>
        <v>0</v>
      </c>
      <c r="H62" s="39">
        <f>G62*G50</f>
        <v>0</v>
      </c>
      <c r="I62" s="7"/>
      <c r="J62" s="2"/>
      <c r="K62" s="2"/>
    </row>
    <row r="63" spans="1:11" ht="15.45" x14ac:dyDescent="0.4">
      <c r="A63" s="36" t="s">
        <v>116</v>
      </c>
      <c r="B63" s="220" t="s">
        <v>13</v>
      </c>
      <c r="C63" s="221"/>
      <c r="D63" s="135">
        <v>0</v>
      </c>
      <c r="E63" s="136">
        <v>0</v>
      </c>
      <c r="F63" s="38"/>
      <c r="G63" s="38">
        <f>IF(D63=0,E63/$G$50,D63)</f>
        <v>0</v>
      </c>
      <c r="H63" s="39">
        <f>G63*G50</f>
        <v>0</v>
      </c>
      <c r="I63" s="6"/>
      <c r="J63" s="2"/>
      <c r="K63" s="2"/>
    </row>
    <row r="64" spans="1:11" ht="15.45" hidden="1" x14ac:dyDescent="0.4">
      <c r="A64" s="36"/>
      <c r="B64" s="22"/>
      <c r="C64" s="24"/>
      <c r="D64" s="38"/>
      <c r="E64" s="22"/>
      <c r="F64" s="38"/>
      <c r="G64" s="38"/>
      <c r="H64" s="134"/>
      <c r="I64" s="6"/>
      <c r="J64" s="2"/>
      <c r="K64" s="2"/>
    </row>
    <row r="65" spans="1:11" ht="15.45" hidden="1" x14ac:dyDescent="0.4">
      <c r="A65" s="62" t="s">
        <v>50</v>
      </c>
      <c r="B65" s="66"/>
      <c r="C65" s="66"/>
      <c r="D65" s="63"/>
      <c r="E65" s="137"/>
      <c r="F65" s="66"/>
      <c r="G65" s="66"/>
      <c r="H65" s="67"/>
      <c r="I65" s="6"/>
      <c r="J65" s="2"/>
      <c r="K65" s="2"/>
    </row>
    <row r="66" spans="1:11" ht="15.45" hidden="1" x14ac:dyDescent="0.4">
      <c r="A66" s="62" t="s">
        <v>14</v>
      </c>
      <c r="B66" s="66"/>
      <c r="C66" s="66"/>
      <c r="D66" s="138">
        <f>G44</f>
        <v>8139</v>
      </c>
      <c r="E66" s="137" t="str">
        <f>IF(D24="Y","porcs)",(IF(D24="N"," Kg Pork)",#VALUE!)))</f>
        <v>porcs)</v>
      </c>
      <c r="F66" s="66"/>
      <c r="G66" s="63">
        <v>0</v>
      </c>
      <c r="H66" s="69">
        <f>G66*G50</f>
        <v>0</v>
      </c>
      <c r="I66" s="2"/>
      <c r="J66" s="2"/>
      <c r="K66" s="2"/>
    </row>
    <row r="67" spans="1:11" ht="15.45" hidden="1" x14ac:dyDescent="0.4">
      <c r="A67" s="62"/>
      <c r="B67" s="137"/>
      <c r="C67" s="66"/>
      <c r="D67" s="63"/>
      <c r="E67" s="88"/>
      <c r="F67" s="66"/>
      <c r="G67" s="66"/>
      <c r="H67" s="67"/>
      <c r="I67" s="7"/>
      <c r="J67" s="2"/>
      <c r="K67" s="2"/>
    </row>
    <row r="68" spans="1:11" ht="15.45" hidden="1" x14ac:dyDescent="0.4">
      <c r="A68" s="62"/>
      <c r="B68" s="66"/>
      <c r="C68" s="66"/>
      <c r="D68" s="139" t="s">
        <v>102</v>
      </c>
      <c r="E68" s="140" t="s">
        <v>73</v>
      </c>
      <c r="F68" s="63"/>
      <c r="G68" s="63"/>
      <c r="H68" s="141" t="s">
        <v>73</v>
      </c>
      <c r="I68" s="2"/>
      <c r="J68" s="2"/>
      <c r="K68" s="2"/>
    </row>
    <row r="69" spans="1:11" ht="15.45" hidden="1" x14ac:dyDescent="0.4">
      <c r="A69" s="62"/>
      <c r="B69" s="66"/>
      <c r="C69" s="66"/>
      <c r="D69" s="139" t="str">
        <f>"/"&amp;IF(D24="Y","porc",(IF(D24="N","Kg Pork",#VALUE!)))</f>
        <v>/porc</v>
      </c>
      <c r="E69" s="139" t="str">
        <f>""&amp;FIXED(G44,0,TRUE)&amp;IF(D24="Y"," porcs",(IF(D24="N"," Kg",#VALUE!)))</f>
        <v>8139 porcs</v>
      </c>
      <c r="F69" s="63"/>
      <c r="G69" s="139" t="str">
        <f>IF(D24="Y","/porc",(IF(D24="N","/Kg Pork",#VALUE!)))</f>
        <v>/porc</v>
      </c>
      <c r="H69" s="142" t="str">
        <f>""&amp;FIXED(G50,0,TRUE)&amp;IF(D24="Y"," porcs",(IF(D24="N","Kg",#VALUE!)))</f>
        <v>8139 porcs</v>
      </c>
      <c r="I69" s="2"/>
      <c r="J69" s="2"/>
      <c r="K69" s="2"/>
    </row>
    <row r="70" spans="1:11" ht="15.45" hidden="1" x14ac:dyDescent="0.4">
      <c r="A70" s="143"/>
      <c r="B70" s="66"/>
      <c r="C70" s="66"/>
      <c r="D70" s="144"/>
      <c r="E70" s="144"/>
      <c r="F70" s="63"/>
      <c r="G70" s="144"/>
      <c r="H70" s="145"/>
      <c r="I70" s="2"/>
      <c r="J70" s="2"/>
      <c r="K70" s="2"/>
    </row>
    <row r="71" spans="1:11" ht="15.75" hidden="1" customHeight="1" x14ac:dyDescent="0.4">
      <c r="A71" s="62" t="s">
        <v>8</v>
      </c>
      <c r="B71" s="146" t="s">
        <v>9</v>
      </c>
      <c r="C71" s="147"/>
      <c r="D71" s="148">
        <v>0</v>
      </c>
      <c r="E71" s="149">
        <v>0</v>
      </c>
      <c r="F71" s="63"/>
      <c r="G71" s="63">
        <f>E71/G44</f>
        <v>0</v>
      </c>
      <c r="H71" s="69">
        <f>G71*G50</f>
        <v>0</v>
      </c>
      <c r="I71" s="2"/>
      <c r="J71" s="2"/>
      <c r="K71" s="2"/>
    </row>
    <row r="72" spans="1:11" ht="15.75" hidden="1" customHeight="1" x14ac:dyDescent="0.4">
      <c r="A72" s="62" t="s">
        <v>10</v>
      </c>
      <c r="B72" s="146" t="s">
        <v>11</v>
      </c>
      <c r="C72" s="147"/>
      <c r="D72" s="148">
        <f>IF(D24="Y",0,(IF(D24="N",0/D12,#VALUE!)))</f>
        <v>0</v>
      </c>
      <c r="E72" s="149">
        <v>0</v>
      </c>
      <c r="F72" s="66"/>
      <c r="G72" s="63">
        <f>E72/G44</f>
        <v>0</v>
      </c>
      <c r="H72" s="69">
        <f>G72*G50</f>
        <v>0</v>
      </c>
      <c r="I72" s="2"/>
      <c r="J72" s="2"/>
      <c r="K72" s="2"/>
    </row>
    <row r="73" spans="1:11" ht="15.75" hidden="1" customHeight="1" x14ac:dyDescent="0.4">
      <c r="A73" s="62" t="s">
        <v>12</v>
      </c>
      <c r="B73" s="146" t="s">
        <v>11</v>
      </c>
      <c r="C73" s="147"/>
      <c r="D73" s="148">
        <f>IF(D24="Y",0,(IF(D24="N",0/D12,#VALUE!)))</f>
        <v>0</v>
      </c>
      <c r="E73" s="149">
        <v>0</v>
      </c>
      <c r="F73" s="63"/>
      <c r="G73" s="63">
        <f>E73/G44</f>
        <v>0</v>
      </c>
      <c r="H73" s="69">
        <f>G73*G50</f>
        <v>0</v>
      </c>
      <c r="I73" s="7"/>
      <c r="J73" s="2"/>
      <c r="K73" s="2"/>
    </row>
    <row r="74" spans="1:11" ht="15.45" x14ac:dyDescent="0.4">
      <c r="A74" s="36" t="s">
        <v>15</v>
      </c>
      <c r="B74" s="22"/>
      <c r="C74" s="23"/>
      <c r="D74" s="22"/>
      <c r="E74" s="42"/>
      <c r="F74" s="38"/>
      <c r="G74" s="37"/>
      <c r="H74" s="111"/>
      <c r="I74" s="7"/>
      <c r="J74" s="2"/>
      <c r="K74" s="2"/>
    </row>
    <row r="75" spans="1:11" ht="15.45" x14ac:dyDescent="0.4">
      <c r="A75" s="36" t="s">
        <v>117</v>
      </c>
      <c r="B75" s="22"/>
      <c r="C75" s="22"/>
      <c r="D75" s="22"/>
      <c r="E75" s="22"/>
      <c r="F75" s="22"/>
      <c r="G75" s="38">
        <f>H75/G50</f>
        <v>148.93</v>
      </c>
      <c r="H75" s="39">
        <f>SUM(H51:H63,H66,H71:H73)</f>
        <v>1212141.27</v>
      </c>
      <c r="I75" s="7"/>
      <c r="J75" s="2"/>
      <c r="K75" s="2"/>
    </row>
    <row r="76" spans="1:11" ht="15.45" x14ac:dyDescent="0.4">
      <c r="A76" s="36"/>
      <c r="B76" s="22"/>
      <c r="C76" s="23"/>
      <c r="D76" s="38"/>
      <c r="E76" s="22"/>
      <c r="F76" s="54"/>
      <c r="G76" s="54"/>
      <c r="H76" s="134"/>
      <c r="I76" s="7"/>
      <c r="J76" s="2"/>
      <c r="K76" s="2"/>
    </row>
    <row r="77" spans="1:11" ht="15.45" x14ac:dyDescent="0.4">
      <c r="A77" s="48"/>
      <c r="B77" s="22"/>
      <c r="C77" s="22"/>
      <c r="D77" s="38"/>
      <c r="E77" s="22"/>
      <c r="F77" s="22"/>
      <c r="G77" s="22"/>
      <c r="H77" s="111" t="s">
        <v>73</v>
      </c>
      <c r="I77" s="2"/>
      <c r="J77" s="2"/>
      <c r="K77" s="2"/>
    </row>
    <row r="78" spans="1:11" ht="15.45" x14ac:dyDescent="0.4">
      <c r="A78" s="48"/>
      <c r="B78" s="22"/>
      <c r="C78" s="22"/>
      <c r="D78" s="150" t="s">
        <v>120</v>
      </c>
      <c r="E78" s="150" t="s">
        <v>121</v>
      </c>
      <c r="F78" s="38"/>
      <c r="G78" s="23" t="str">
        <f>IF(D24="Y","$/porc",(IF(D24="N","/Kg Pork",#VALUE!)))</f>
        <v>$/porc</v>
      </c>
      <c r="H78" s="105" t="str">
        <f>""&amp;FIXED(G50,0,TRUE)&amp;IF(D24="Y"," porcs",(IF(D24="N","Kg",#VALUE!)))</f>
        <v>8139 porcs</v>
      </c>
      <c r="I78" s="8"/>
      <c r="J78" s="2"/>
      <c r="K78" s="2"/>
    </row>
    <row r="79" spans="1:11" ht="15.45" x14ac:dyDescent="0.4">
      <c r="A79" s="36" t="s">
        <v>160</v>
      </c>
      <c r="B79" s="22"/>
      <c r="C79" s="22"/>
      <c r="D79" s="151"/>
      <c r="E79" s="152"/>
      <c r="F79" s="38"/>
      <c r="G79" s="151"/>
      <c r="H79" s="153"/>
      <c r="I79" s="2"/>
      <c r="J79" s="2"/>
      <c r="K79" s="2"/>
    </row>
    <row r="80" spans="1:11" ht="15.45" x14ac:dyDescent="0.4">
      <c r="A80" s="36" t="s">
        <v>118</v>
      </c>
      <c r="B80" s="22"/>
      <c r="C80" s="22"/>
      <c r="D80" s="154">
        <f>D9</f>
        <v>9043.4782608695641</v>
      </c>
      <c r="E80" s="23">
        <f>F30</f>
        <v>52.79</v>
      </c>
      <c r="F80" s="22"/>
      <c r="G80" s="38">
        <f>(D80*E80)/G44</f>
        <v>58.656495563497266</v>
      </c>
      <c r="H80" s="39">
        <f>G80*G50</f>
        <v>477405.21739130426</v>
      </c>
      <c r="I80" s="2"/>
      <c r="J80" s="2"/>
      <c r="K80" s="2"/>
    </row>
    <row r="81" spans="1:11" ht="15.45" x14ac:dyDescent="0.4">
      <c r="A81" s="36" t="s">
        <v>119</v>
      </c>
      <c r="B81" s="220" t="s">
        <v>16</v>
      </c>
      <c r="C81" s="221"/>
      <c r="D81" s="155">
        <v>0</v>
      </c>
      <c r="E81" s="155">
        <v>0</v>
      </c>
      <c r="F81" s="22"/>
      <c r="G81" s="38">
        <f>(D81*E81)/G44</f>
        <v>0</v>
      </c>
      <c r="H81" s="39">
        <f>G81*G50</f>
        <v>0</v>
      </c>
      <c r="I81" s="4"/>
      <c r="J81" s="2"/>
      <c r="K81" s="2"/>
    </row>
    <row r="82" spans="1:11" ht="15.45" x14ac:dyDescent="0.4">
      <c r="A82" s="48"/>
      <c r="B82" s="22"/>
      <c r="C82" s="22"/>
      <c r="D82" s="38"/>
      <c r="E82" s="42"/>
      <c r="F82" s="38"/>
      <c r="G82" s="38"/>
      <c r="H82" s="39"/>
      <c r="I82" s="2"/>
      <c r="J82" s="2"/>
      <c r="K82" s="2"/>
    </row>
    <row r="83" spans="1:11" ht="15.45" x14ac:dyDescent="0.4">
      <c r="A83" s="48"/>
      <c r="B83" s="22"/>
      <c r="C83" s="22"/>
      <c r="D83" s="52" t="s">
        <v>102</v>
      </c>
      <c r="E83" s="52" t="s">
        <v>73</v>
      </c>
      <c r="F83" s="156"/>
      <c r="G83" s="156"/>
      <c r="H83" s="105" t="s">
        <v>73</v>
      </c>
      <c r="I83" s="7"/>
      <c r="J83" s="2"/>
      <c r="K83" s="2"/>
    </row>
    <row r="84" spans="1:11" ht="15.45" x14ac:dyDescent="0.4">
      <c r="A84" s="48"/>
      <c r="B84" s="22"/>
      <c r="C84" s="22"/>
      <c r="D84" s="52" t="str">
        <f>"$/"&amp;IF(D24="Y","porc",(IF(D24="N","Kg Pork",#VALUE!)))</f>
        <v>$/porc</v>
      </c>
      <c r="E84" s="52" t="str">
        <f>""&amp;FIXED(G44,0,TRUE)&amp;IF(D24="Y"," porcs",(IF(D24="N"," Kg",#VALUE!)))</f>
        <v>8139 porcs</v>
      </c>
      <c r="F84" s="156"/>
      <c r="G84" s="52" t="str">
        <f>IF(D24="Y","$/porc",(IF(D24="N","/Kg Pork",#VALUE!)))</f>
        <v>$/porc</v>
      </c>
      <c r="H84" s="105" t="str">
        <f>""&amp;FIXED(G50,0,TRUE)&amp;IF(D24="Y"," porcs",(IF(D24="N","Kg",#VALUE!)))</f>
        <v>8139 porcs</v>
      </c>
      <c r="I84" s="7"/>
      <c r="J84" s="2"/>
      <c r="K84" s="2"/>
    </row>
    <row r="85" spans="1:11" ht="15.45" x14ac:dyDescent="0.4">
      <c r="A85" s="48"/>
      <c r="B85" s="22"/>
      <c r="C85" s="22"/>
      <c r="D85" s="37"/>
      <c r="E85" s="37"/>
      <c r="F85" s="38"/>
      <c r="G85" s="37"/>
      <c r="H85" s="132"/>
      <c r="I85" s="2"/>
      <c r="J85" s="2"/>
      <c r="K85" s="2"/>
    </row>
    <row r="86" spans="1:11" ht="15.45" x14ac:dyDescent="0.4">
      <c r="A86" s="36" t="s">
        <v>122</v>
      </c>
      <c r="B86" s="22"/>
      <c r="C86" s="22"/>
      <c r="D86" s="223">
        <v>6.73</v>
      </c>
      <c r="E86" s="136">
        <v>0</v>
      </c>
      <c r="F86" s="22"/>
      <c r="G86" s="38">
        <f t="shared" ref="G86:G94" si="3">IF(D86=0,E86/$G$50,D86)</f>
        <v>6.73</v>
      </c>
      <c r="H86" s="39">
        <f>G86*G50</f>
        <v>54775.47</v>
      </c>
      <c r="I86" s="7"/>
      <c r="J86" s="2"/>
      <c r="K86" s="2"/>
    </row>
    <row r="87" spans="1:11" ht="15.45" x14ac:dyDescent="0.4">
      <c r="A87" s="36" t="s">
        <v>123</v>
      </c>
      <c r="B87" s="22"/>
      <c r="C87" s="22"/>
      <c r="D87" s="223">
        <v>2.93</v>
      </c>
      <c r="E87" s="136">
        <v>0</v>
      </c>
      <c r="F87" s="38"/>
      <c r="G87" s="38">
        <f t="shared" si="3"/>
        <v>2.93</v>
      </c>
      <c r="H87" s="39">
        <f>G87*G50</f>
        <v>23847.27</v>
      </c>
      <c r="I87" s="7"/>
      <c r="J87" s="2"/>
      <c r="K87" s="2"/>
    </row>
    <row r="88" spans="1:11" ht="15.45" x14ac:dyDescent="0.4">
      <c r="A88" s="36" t="s">
        <v>124</v>
      </c>
      <c r="B88" s="23"/>
      <c r="C88" s="23"/>
      <c r="D88" s="223">
        <v>0</v>
      </c>
      <c r="E88" s="136">
        <v>0</v>
      </c>
      <c r="F88" s="22"/>
      <c r="G88" s="38">
        <f t="shared" si="3"/>
        <v>0</v>
      </c>
      <c r="H88" s="39">
        <f>G88*G50</f>
        <v>0</v>
      </c>
      <c r="I88" s="2"/>
      <c r="J88" s="2"/>
      <c r="K88" s="2"/>
    </row>
    <row r="89" spans="1:11" ht="15.45" x14ac:dyDescent="0.4">
      <c r="A89" s="36" t="s">
        <v>125</v>
      </c>
      <c r="B89" s="23"/>
      <c r="C89" s="23"/>
      <c r="D89" s="223">
        <v>1.01</v>
      </c>
      <c r="E89" s="136">
        <v>0</v>
      </c>
      <c r="F89" s="23"/>
      <c r="G89" s="38">
        <f t="shared" si="3"/>
        <v>1.01</v>
      </c>
      <c r="H89" s="39">
        <f>G89*G50</f>
        <v>8220.39</v>
      </c>
      <c r="I89" s="7"/>
      <c r="J89" s="2"/>
      <c r="K89" s="2"/>
    </row>
    <row r="90" spans="1:11" ht="15.45" x14ac:dyDescent="0.4">
      <c r="A90" s="36" t="s">
        <v>126</v>
      </c>
      <c r="B90" s="23"/>
      <c r="C90" s="23"/>
      <c r="D90" s="223">
        <v>9</v>
      </c>
      <c r="E90" s="136">
        <v>0</v>
      </c>
      <c r="F90" s="23"/>
      <c r="G90" s="38">
        <f>IF(D90=0,E90/$G$50,D90)</f>
        <v>9</v>
      </c>
      <c r="H90" s="39">
        <f>G90*G50</f>
        <v>73251</v>
      </c>
      <c r="I90" s="7"/>
      <c r="J90" s="2"/>
      <c r="K90" s="2"/>
    </row>
    <row r="91" spans="1:11" ht="15.45" x14ac:dyDescent="0.4">
      <c r="A91" s="36" t="s">
        <v>127</v>
      </c>
      <c r="B91" s="22"/>
      <c r="C91" s="22"/>
      <c r="D91" s="223">
        <v>0</v>
      </c>
      <c r="E91" s="136">
        <v>0</v>
      </c>
      <c r="F91" s="157"/>
      <c r="G91" s="38">
        <f t="shared" si="3"/>
        <v>0</v>
      </c>
      <c r="H91" s="39">
        <f>G91*G50</f>
        <v>0</v>
      </c>
      <c r="I91" s="7"/>
      <c r="J91" s="2"/>
      <c r="K91" s="2"/>
    </row>
    <row r="92" spans="1:11" ht="15.45" x14ac:dyDescent="0.4">
      <c r="A92" s="36" t="s">
        <v>128</v>
      </c>
      <c r="B92" s="158" t="s">
        <v>158</v>
      </c>
      <c r="C92" s="159"/>
      <c r="D92" s="223">
        <v>0</v>
      </c>
      <c r="E92" s="136">
        <v>0</v>
      </c>
      <c r="F92" s="38"/>
      <c r="G92" s="38">
        <f t="shared" si="3"/>
        <v>0</v>
      </c>
      <c r="H92" s="39">
        <f>G92*G50</f>
        <v>0</v>
      </c>
      <c r="I92" s="7"/>
      <c r="J92" s="3"/>
      <c r="K92" s="2"/>
    </row>
    <row r="93" spans="1:11" ht="15.45" x14ac:dyDescent="0.4">
      <c r="A93" s="36" t="s">
        <v>129</v>
      </c>
      <c r="B93" s="22"/>
      <c r="C93" s="22"/>
      <c r="D93" s="223">
        <v>0</v>
      </c>
      <c r="E93" s="136">
        <v>0</v>
      </c>
      <c r="F93" s="22"/>
      <c r="G93" s="38">
        <f t="shared" si="3"/>
        <v>0</v>
      </c>
      <c r="H93" s="39">
        <f>G93*G50</f>
        <v>0</v>
      </c>
      <c r="I93" s="2"/>
      <c r="J93" s="3"/>
      <c r="K93" s="2"/>
    </row>
    <row r="94" spans="1:11" ht="15.45" x14ac:dyDescent="0.4">
      <c r="A94" s="36" t="s">
        <v>130</v>
      </c>
      <c r="B94" s="22"/>
      <c r="C94" s="22"/>
      <c r="D94" s="223">
        <v>4.2300000000000004</v>
      </c>
      <c r="E94" s="136">
        <v>0</v>
      </c>
      <c r="F94" s="38"/>
      <c r="G94" s="38">
        <f t="shared" si="3"/>
        <v>4.2300000000000004</v>
      </c>
      <c r="H94" s="39">
        <f>G94*G50</f>
        <v>34427.97</v>
      </c>
      <c r="I94" s="3"/>
      <c r="J94" s="3"/>
      <c r="K94" s="1" t="s">
        <v>40</v>
      </c>
    </row>
    <row r="95" spans="1:11" ht="15.45" x14ac:dyDescent="0.4">
      <c r="A95" s="48"/>
      <c r="B95" s="23"/>
      <c r="C95" s="22"/>
      <c r="D95" s="52" t="s">
        <v>102</v>
      </c>
      <c r="E95" s="52" t="s">
        <v>73</v>
      </c>
      <c r="F95" s="38"/>
      <c r="G95" s="38"/>
      <c r="H95" s="134"/>
      <c r="I95" s="3"/>
      <c r="J95" s="3"/>
      <c r="K95" s="1" t="s">
        <v>41</v>
      </c>
    </row>
    <row r="96" spans="1:11" ht="15.45" x14ac:dyDescent="0.4">
      <c r="A96" s="48"/>
      <c r="B96" s="22"/>
      <c r="C96" s="22"/>
      <c r="D96" s="52" t="str">
        <f>"$/"&amp;IF(D24="Y","porc",(IF(D24="N","Kg Pork",#VALUE!)))</f>
        <v>$/porc</v>
      </c>
      <c r="E96" s="52" t="str">
        <f>""&amp;FIXED(G44,0,TRUE)&amp;IF(D24="Y"," porcs",(IF(D24="N"," Kg",#VALUE!)))</f>
        <v>8139 porcs</v>
      </c>
      <c r="F96" s="61"/>
      <c r="G96" s="61"/>
      <c r="H96" s="105" t="s">
        <v>73</v>
      </c>
      <c r="I96" s="3"/>
      <c r="J96" s="3"/>
      <c r="K96" s="1" t="s">
        <v>42</v>
      </c>
    </row>
    <row r="97" spans="1:11" ht="15.45" x14ac:dyDescent="0.4">
      <c r="A97" s="48"/>
      <c r="B97" s="22"/>
      <c r="C97" s="50"/>
      <c r="D97" s="37"/>
      <c r="E97" s="37"/>
      <c r="F97" s="156"/>
      <c r="G97" s="52" t="str">
        <f>IF(D24="Y","$/porc",(IF(D24="N","/Kg Pork",#VALUE!)))</f>
        <v>$/porc</v>
      </c>
      <c r="H97" s="105" t="str">
        <f>""&amp;FIXED(G50,0,TRUE)&amp;IF(D24="Y"," porcs",(IF(D24="N","Kg",#VALUE!)))</f>
        <v>8139 porcs</v>
      </c>
      <c r="I97" s="2"/>
      <c r="J97" s="2"/>
      <c r="K97" s="1" t="s">
        <v>43</v>
      </c>
    </row>
    <row r="98" spans="1:11" ht="15.45" x14ac:dyDescent="0.4">
      <c r="A98" s="36" t="s">
        <v>157</v>
      </c>
      <c r="B98" s="42"/>
      <c r="C98" s="22"/>
      <c r="D98" s="135">
        <v>0</v>
      </c>
      <c r="E98" s="135">
        <v>0</v>
      </c>
      <c r="F98" s="38"/>
      <c r="G98" s="38">
        <f>IF(D98=0,E98/$G$50,D98)</f>
        <v>0</v>
      </c>
      <c r="H98" s="39">
        <f>G98*$G$50</f>
        <v>0</v>
      </c>
      <c r="I98" s="3"/>
      <c r="J98" s="2"/>
      <c r="K98" s="2"/>
    </row>
    <row r="99" spans="1:11" ht="15.45" x14ac:dyDescent="0.4">
      <c r="A99" s="36" t="s">
        <v>131</v>
      </c>
      <c r="B99" s="22"/>
      <c r="C99" s="22"/>
      <c r="D99" s="135">
        <v>0</v>
      </c>
      <c r="E99" s="135">
        <v>0</v>
      </c>
      <c r="F99" s="22"/>
      <c r="G99" s="38">
        <f>IF(D99=0,E99/$G$50,D99)</f>
        <v>0</v>
      </c>
      <c r="H99" s="39">
        <f>G99*$G$50</f>
        <v>0</v>
      </c>
      <c r="I99" s="3"/>
      <c r="J99" s="2"/>
      <c r="K99" s="1" t="s">
        <v>44</v>
      </c>
    </row>
    <row r="100" spans="1:11" ht="15.45" x14ac:dyDescent="0.4">
      <c r="A100" s="36" t="s">
        <v>132</v>
      </c>
      <c r="B100" s="42"/>
      <c r="C100" s="22"/>
      <c r="D100" s="135">
        <v>3.88</v>
      </c>
      <c r="E100" s="135">
        <v>0</v>
      </c>
      <c r="F100" s="38"/>
      <c r="G100" s="38">
        <f>IF(D100=0,E100/$G$50,D100)</f>
        <v>3.88</v>
      </c>
      <c r="H100" s="39">
        <f>G100*$G$50</f>
        <v>31579.32</v>
      </c>
      <c r="I100" s="3"/>
      <c r="J100" s="2"/>
      <c r="K100" s="2"/>
    </row>
    <row r="101" spans="1:11" ht="15.45" x14ac:dyDescent="0.4">
      <c r="A101" s="36" t="s">
        <v>133</v>
      </c>
      <c r="B101" s="42"/>
      <c r="C101" s="22"/>
      <c r="D101" s="135">
        <f>IF(D24="Y",0,(IF(D24="N",0/D12,#VALUE!)))</f>
        <v>0</v>
      </c>
      <c r="E101" s="135">
        <f>IF(E24="Y",0,(IF(E24="N",0/E12,#VALUE!)))</f>
        <v>0</v>
      </c>
      <c r="F101" s="22"/>
      <c r="G101" s="38">
        <f>IF(D101=0,E101/$G$50,D101)</f>
        <v>0</v>
      </c>
      <c r="H101" s="39">
        <f>G101*$G$50</f>
        <v>0</v>
      </c>
      <c r="I101" s="2"/>
      <c r="J101" s="2"/>
      <c r="K101" s="2"/>
    </row>
    <row r="102" spans="1:11" ht="15.45" x14ac:dyDescent="0.4">
      <c r="A102" s="36" t="s">
        <v>134</v>
      </c>
      <c r="B102" s="42"/>
      <c r="C102" s="22"/>
      <c r="D102" s="135">
        <v>0.3</v>
      </c>
      <c r="E102" s="135">
        <v>0</v>
      </c>
      <c r="F102" s="22"/>
      <c r="G102" s="38">
        <f>IF(D102=0,E102/$G$50,D102)</f>
        <v>0.3</v>
      </c>
      <c r="H102" s="39">
        <f>G102*$G$50</f>
        <v>2441.6999999999998</v>
      </c>
      <c r="I102" s="2"/>
      <c r="J102" s="6">
        <f>ROUND(+C105*D105*0.0001*SUM(H75,H80,H81,H86:H88,H91:H94,H98:H102),0)</f>
        <v>29276</v>
      </c>
      <c r="K102" s="1" t="s">
        <v>45</v>
      </c>
    </row>
    <row r="103" spans="1:11" ht="15.45" x14ac:dyDescent="0.4">
      <c r="A103" s="48"/>
      <c r="B103" s="42"/>
      <c r="C103" s="22"/>
      <c r="D103" s="22"/>
      <c r="E103" s="133"/>
      <c r="F103" s="22"/>
      <c r="G103" s="38"/>
      <c r="H103" s="43"/>
      <c r="I103" s="3"/>
      <c r="J103" s="2"/>
      <c r="K103" s="2"/>
    </row>
    <row r="104" spans="1:11" ht="15.45" x14ac:dyDescent="0.4">
      <c r="A104" s="36" t="s">
        <v>135</v>
      </c>
      <c r="B104" s="22"/>
      <c r="C104" s="150" t="s">
        <v>136</v>
      </c>
      <c r="D104" s="150" t="s">
        <v>137</v>
      </c>
      <c r="E104" s="133"/>
      <c r="F104" s="22"/>
      <c r="G104" s="38"/>
      <c r="H104" s="43"/>
      <c r="I104" s="3"/>
      <c r="J104" s="2"/>
      <c r="K104" s="2"/>
    </row>
    <row r="105" spans="1:11" ht="15.45" x14ac:dyDescent="0.4">
      <c r="A105" s="36" t="s">
        <v>159</v>
      </c>
      <c r="B105" s="22"/>
      <c r="C105" s="155">
        <v>7.97</v>
      </c>
      <c r="D105" s="155">
        <v>20</v>
      </c>
      <c r="E105" s="133">
        <f ca="1">IF(K15=0,0,HLOOKUP(A2,INDIRECT(K15),7, FALSE)*INDIRECT(K102)*0.01)</f>
        <v>0</v>
      </c>
      <c r="F105" s="42"/>
      <c r="G105" s="38">
        <f ca="1">H105/G50</f>
        <v>3.5970020887086864</v>
      </c>
      <c r="H105" s="39">
        <f ca="1">IF(E105=0,J102,IF(INDIRECT(K102)&gt;0,E105,J102))</f>
        <v>29276</v>
      </c>
      <c r="I105" s="3"/>
      <c r="J105" s="2"/>
      <c r="K105" s="2"/>
    </row>
    <row r="106" spans="1:11" ht="15.45" x14ac:dyDescent="0.4">
      <c r="A106" s="48"/>
      <c r="B106" s="22"/>
      <c r="C106" s="22"/>
      <c r="D106" s="22"/>
      <c r="E106" s="133"/>
      <c r="F106" s="22"/>
      <c r="G106" s="37"/>
      <c r="H106" s="111"/>
      <c r="I106" s="3"/>
      <c r="J106" s="2"/>
      <c r="K106" s="2"/>
    </row>
    <row r="107" spans="1:11" ht="15.45" x14ac:dyDescent="0.4">
      <c r="A107" s="36" t="s">
        <v>161</v>
      </c>
      <c r="B107" s="22"/>
      <c r="C107" s="22"/>
      <c r="D107" s="22"/>
      <c r="E107" s="133"/>
      <c r="F107" s="42"/>
      <c r="G107" s="38">
        <f ca="1">SUM(G66:G105)</f>
        <v>239.26349765220593</v>
      </c>
      <c r="H107" s="39">
        <f ca="1">SUM(H75:H105)</f>
        <v>1947365.6073913041</v>
      </c>
      <c r="I107" s="3"/>
      <c r="J107" s="2"/>
      <c r="K107" s="2"/>
    </row>
    <row r="108" spans="1:11" ht="15.45" x14ac:dyDescent="0.4">
      <c r="A108" s="48"/>
      <c r="B108" s="22"/>
      <c r="C108" s="22"/>
      <c r="D108" s="52" t="s">
        <v>102</v>
      </c>
      <c r="E108" s="52" t="s">
        <v>73</v>
      </c>
      <c r="F108" s="42"/>
      <c r="G108" s="38"/>
      <c r="H108" s="59"/>
      <c r="I108" s="3"/>
      <c r="J108" s="2"/>
      <c r="K108" s="1" t="s">
        <v>46</v>
      </c>
    </row>
    <row r="109" spans="1:11" ht="15.45" x14ac:dyDescent="0.4">
      <c r="A109" s="48"/>
      <c r="B109" s="22"/>
      <c r="C109" s="22"/>
      <c r="D109" s="52" t="str">
        <f>"$/"&amp;IF(D24="Y","porc",(IF(D24="N","Kg Pork",#VALUE!)))</f>
        <v>$/porc</v>
      </c>
      <c r="E109" s="52" t="str">
        <f>""&amp;FIXED(G44,0,TRUE)&amp;IF(D24="Y"," porcs",(IF(D24="N"," Kg",#VALUE!)))</f>
        <v>8139 porcs</v>
      </c>
      <c r="F109" s="61"/>
      <c r="G109" s="61"/>
      <c r="H109" s="105" t="s">
        <v>73</v>
      </c>
      <c r="I109" s="3"/>
      <c r="J109" s="2"/>
      <c r="K109" s="1" t="s">
        <v>47</v>
      </c>
    </row>
    <row r="110" spans="1:11" ht="15.45" x14ac:dyDescent="0.4">
      <c r="A110" s="36" t="s">
        <v>162</v>
      </c>
      <c r="B110" s="22"/>
      <c r="C110" s="54"/>
      <c r="D110" s="37"/>
      <c r="E110" s="37"/>
      <c r="F110" s="160"/>
      <c r="G110" s="52" t="str">
        <f>IF(D24="Y","$/porc",(IF(D24="N","/Kg Pork",#VALUE!)))</f>
        <v>$/porc</v>
      </c>
      <c r="H110" s="105" t="str">
        <f>""&amp;FIXED(G50,0,TRUE)&amp;IF(D24="Y"," porcs",(IF(D24="N","Kg",#VALUE!)))</f>
        <v>8139 porcs</v>
      </c>
      <c r="I110" s="3"/>
      <c r="J110" s="2"/>
      <c r="K110" s="1" t="s">
        <v>48</v>
      </c>
    </row>
    <row r="111" spans="1:11" ht="15.45" x14ac:dyDescent="0.4">
      <c r="A111" s="36" t="s">
        <v>138</v>
      </c>
      <c r="B111" s="22"/>
      <c r="C111" s="54"/>
      <c r="D111" s="135">
        <v>12.95</v>
      </c>
      <c r="E111" s="135">
        <v>0</v>
      </c>
      <c r="F111" s="161"/>
      <c r="G111" s="38">
        <f>IF(D111=0,E111/$G$50,D111)</f>
        <v>12.95</v>
      </c>
      <c r="H111" s="39">
        <f>G111*$G$50</f>
        <v>105400.04999999999</v>
      </c>
      <c r="I111" s="3"/>
      <c r="J111" s="2"/>
      <c r="K111" s="1" t="s">
        <v>49</v>
      </c>
    </row>
    <row r="112" spans="1:11" ht="15.45" x14ac:dyDescent="0.4">
      <c r="A112" s="36" t="s">
        <v>139</v>
      </c>
      <c r="B112" s="22"/>
      <c r="C112" s="22"/>
      <c r="D112" s="135">
        <v>3.63</v>
      </c>
      <c r="E112" s="135">
        <v>0</v>
      </c>
      <c r="F112" s="161"/>
      <c r="G112" s="38">
        <f>IF(D112=0,E112/$G$50,D112)</f>
        <v>3.63</v>
      </c>
      <c r="H112" s="39">
        <f>G112*$G$50</f>
        <v>29544.57</v>
      </c>
      <c r="I112" s="3"/>
      <c r="J112" s="2"/>
      <c r="K112" s="2"/>
    </row>
    <row r="113" spans="1:11" ht="15.45" x14ac:dyDescent="0.4">
      <c r="A113" s="36" t="s">
        <v>140</v>
      </c>
      <c r="B113" s="22"/>
      <c r="C113" s="54"/>
      <c r="D113" s="135">
        <v>0</v>
      </c>
      <c r="E113" s="135">
        <v>0</v>
      </c>
      <c r="F113" s="161"/>
      <c r="G113" s="38">
        <f>IF(D113=0,E113/$G$50,D113)</f>
        <v>0</v>
      </c>
      <c r="H113" s="39">
        <f>G113*$G$50</f>
        <v>0</v>
      </c>
      <c r="I113" s="3"/>
      <c r="J113" s="2"/>
      <c r="K113" s="2"/>
    </row>
    <row r="114" spans="1:11" ht="15.45" x14ac:dyDescent="0.4">
      <c r="A114" s="36" t="s">
        <v>141</v>
      </c>
      <c r="B114" s="22"/>
      <c r="C114" s="22"/>
      <c r="D114" s="135">
        <v>3.88</v>
      </c>
      <c r="E114" s="135">
        <v>0</v>
      </c>
      <c r="F114" s="38"/>
      <c r="G114" s="38">
        <f>IF(D114=0,E114/$G$50,D114)</f>
        <v>3.88</v>
      </c>
      <c r="H114" s="39">
        <f>G114*$G$50</f>
        <v>31579.32</v>
      </c>
      <c r="I114" s="3"/>
      <c r="J114" s="2"/>
      <c r="K114" s="2"/>
    </row>
    <row r="115" spans="1:11" ht="15.45" x14ac:dyDescent="0.4">
      <c r="A115" s="48"/>
      <c r="B115" s="22"/>
      <c r="C115" s="22"/>
      <c r="D115" s="22"/>
      <c r="E115" s="22"/>
      <c r="F115" s="42"/>
      <c r="G115" s="37"/>
      <c r="H115" s="111"/>
      <c r="I115" s="3"/>
      <c r="J115" s="2"/>
      <c r="K115" s="2"/>
    </row>
    <row r="116" spans="1:11" ht="15.45" x14ac:dyDescent="0.4">
      <c r="A116" s="26" t="s">
        <v>142</v>
      </c>
      <c r="B116" s="27"/>
      <c r="C116" s="162"/>
      <c r="D116" s="162"/>
      <c r="E116" s="27"/>
      <c r="F116" s="162"/>
      <c r="G116" s="114">
        <f>SUM(G111:G114)</f>
        <v>20.459999999999997</v>
      </c>
      <c r="H116" s="115">
        <f>SUM(H111:H114)</f>
        <v>166523.94</v>
      </c>
      <c r="I116" s="3"/>
      <c r="J116" s="2"/>
      <c r="K116" s="2"/>
    </row>
    <row r="117" spans="1:11" ht="15.45" x14ac:dyDescent="0.4">
      <c r="A117" s="163"/>
      <c r="B117" s="163"/>
      <c r="C117" s="163"/>
      <c r="D117" s="163"/>
      <c r="E117" s="163"/>
      <c r="F117" s="163"/>
      <c r="G117" s="163"/>
      <c r="H117" s="163"/>
      <c r="I117" s="3"/>
      <c r="J117" s="2"/>
      <c r="K117" s="4"/>
    </row>
    <row r="118" spans="1:11" ht="15.45" x14ac:dyDescent="0.4">
      <c r="A118" s="17" t="s">
        <v>143</v>
      </c>
      <c r="B118" s="102"/>
      <c r="C118" s="164"/>
      <c r="D118" s="164"/>
      <c r="E118" s="85" t="str">
        <f>G48</f>
        <v>$/porc</v>
      </c>
      <c r="F118" s="85" t="s">
        <v>73</v>
      </c>
      <c r="G118" s="165"/>
      <c r="H118" s="86"/>
      <c r="I118" s="2"/>
      <c r="J118" s="2"/>
      <c r="K118" s="4"/>
    </row>
    <row r="119" spans="1:11" ht="15.45" x14ac:dyDescent="0.4">
      <c r="A119" s="36" t="s">
        <v>144</v>
      </c>
      <c r="B119" s="38"/>
      <c r="C119" s="42"/>
      <c r="D119" s="42"/>
      <c r="E119" s="38">
        <f>F119/G50</f>
        <v>236.4</v>
      </c>
      <c r="F119" s="42">
        <f>H41</f>
        <v>1924059.6</v>
      </c>
      <c r="G119" s="133"/>
      <c r="H119" s="166"/>
      <c r="I119" s="3"/>
      <c r="J119" s="3"/>
      <c r="K119" s="4"/>
    </row>
    <row r="120" spans="1:11" ht="15.45" x14ac:dyDescent="0.4">
      <c r="A120" s="36" t="s">
        <v>163</v>
      </c>
      <c r="B120" s="38"/>
      <c r="C120" s="42"/>
      <c r="D120" s="42"/>
      <c r="E120" s="38">
        <f ca="1">F120/G50</f>
        <v>239.26349765220593</v>
      </c>
      <c r="F120" s="42">
        <f ca="1">H107</f>
        <v>1947365.6073913041</v>
      </c>
      <c r="G120" s="133"/>
      <c r="H120" s="166"/>
      <c r="I120" s="3"/>
      <c r="J120" s="3"/>
      <c r="K120" s="4"/>
    </row>
    <row r="121" spans="1:11" ht="15.45" x14ac:dyDescent="0.4">
      <c r="A121" s="48"/>
      <c r="B121" s="38"/>
      <c r="C121" s="42"/>
      <c r="D121" s="42"/>
      <c r="E121" s="37"/>
      <c r="F121" s="37"/>
      <c r="G121" s="133"/>
      <c r="H121" s="166"/>
      <c r="I121" s="3"/>
      <c r="J121" s="3"/>
      <c r="K121" s="3"/>
    </row>
    <row r="122" spans="1:11" ht="15.45" x14ac:dyDescent="0.4">
      <c r="A122" s="36" t="s">
        <v>145</v>
      </c>
      <c r="B122" s="22"/>
      <c r="C122" s="22"/>
      <c r="D122" s="22"/>
      <c r="E122" s="38">
        <f ca="1">E119-E120</f>
        <v>-2.8634976522059219</v>
      </c>
      <c r="F122" s="42">
        <f ca="1">F119-F120</f>
        <v>-23306.007391304011</v>
      </c>
      <c r="G122" s="133"/>
      <c r="H122" s="166"/>
      <c r="I122" s="2"/>
      <c r="J122" s="2"/>
      <c r="K122" s="2"/>
    </row>
    <row r="123" spans="1:11" ht="15.45" x14ac:dyDescent="0.4">
      <c r="A123" s="36" t="s">
        <v>146</v>
      </c>
      <c r="B123" s="22"/>
      <c r="C123" s="22"/>
      <c r="D123" s="22"/>
      <c r="E123" s="38">
        <f>F123/G50</f>
        <v>20.46</v>
      </c>
      <c r="F123" s="42">
        <f>H116</f>
        <v>166523.94</v>
      </c>
      <c r="G123" s="133"/>
      <c r="H123" s="166"/>
      <c r="I123" s="3"/>
      <c r="J123" s="2"/>
      <c r="K123" s="2"/>
    </row>
    <row r="124" spans="1:11" ht="15.45" x14ac:dyDescent="0.4">
      <c r="A124" s="48"/>
      <c r="B124" s="22"/>
      <c r="C124" s="22"/>
      <c r="D124" s="22"/>
      <c r="E124" s="37"/>
      <c r="F124" s="37"/>
      <c r="G124" s="22"/>
      <c r="H124" s="59"/>
      <c r="I124" s="3"/>
      <c r="J124" s="3"/>
      <c r="K124" s="2"/>
    </row>
    <row r="125" spans="1:11" ht="15.45" x14ac:dyDescent="0.4">
      <c r="A125" s="36" t="s">
        <v>147</v>
      </c>
      <c r="B125" s="22"/>
      <c r="C125" s="22"/>
      <c r="D125" s="42"/>
      <c r="E125" s="38">
        <f ca="1">E122-E123</f>
        <v>-23.323497652205923</v>
      </c>
      <c r="F125" s="42">
        <f ca="1">F122-F123</f>
        <v>-189829.94739130401</v>
      </c>
      <c r="G125" s="38"/>
      <c r="H125" s="39"/>
      <c r="I125" s="3"/>
      <c r="J125" s="3"/>
      <c r="K125" s="2"/>
    </row>
    <row r="126" spans="1:11" ht="15.45" x14ac:dyDescent="0.4">
      <c r="A126" s="48"/>
      <c r="B126" s="22"/>
      <c r="C126" s="22"/>
      <c r="D126" s="42"/>
      <c r="E126" s="42"/>
      <c r="F126" s="42"/>
      <c r="G126" s="38"/>
      <c r="H126" s="39"/>
      <c r="I126" s="3"/>
      <c r="J126" s="3"/>
      <c r="K126" s="2"/>
    </row>
    <row r="127" spans="1:11" ht="15.45" x14ac:dyDescent="0.4">
      <c r="A127" s="48"/>
      <c r="B127" s="22"/>
      <c r="C127" s="22"/>
      <c r="D127" s="42"/>
      <c r="E127" s="42"/>
      <c r="F127" s="42"/>
      <c r="G127" s="38"/>
      <c r="H127" s="39"/>
      <c r="I127" s="3"/>
      <c r="J127" s="3"/>
      <c r="K127" s="2"/>
    </row>
    <row r="128" spans="1:11" ht="15.45" x14ac:dyDescent="0.4">
      <c r="A128" s="48"/>
      <c r="B128" s="37" t="s">
        <v>148</v>
      </c>
      <c r="C128" s="22"/>
      <c r="D128" s="22"/>
      <c r="E128" s="22"/>
      <c r="F128" s="22"/>
      <c r="G128" s="37" t="s">
        <v>151</v>
      </c>
      <c r="H128" s="59"/>
      <c r="I128" s="3"/>
      <c r="J128" s="3"/>
      <c r="K128" s="2"/>
    </row>
    <row r="129" spans="1:11" ht="15.45" x14ac:dyDescent="0.4">
      <c r="A129" s="48"/>
      <c r="B129" s="37" t="s">
        <v>149</v>
      </c>
      <c r="C129" s="22"/>
      <c r="D129" s="22"/>
      <c r="E129" s="37" t="s">
        <v>75</v>
      </c>
      <c r="F129" s="42"/>
      <c r="G129" s="38">
        <f ca="1">F120/(D13/100*D12*H7)*100</f>
        <v>205.20025527633442</v>
      </c>
      <c r="H129" s="39"/>
      <c r="I129" s="3"/>
      <c r="J129" s="3"/>
      <c r="K129" s="2"/>
    </row>
    <row r="130" spans="1:11" ht="15.45" x14ac:dyDescent="0.4">
      <c r="A130" s="167"/>
      <c r="B130" s="22"/>
      <c r="C130" s="22"/>
      <c r="D130" s="22"/>
      <c r="E130" s="37" t="s">
        <v>76</v>
      </c>
      <c r="F130" s="50"/>
      <c r="G130" s="38">
        <f>F123/(D13/100*D12*H7)*100</f>
        <v>17.547169811320753</v>
      </c>
      <c r="H130" s="166"/>
      <c r="I130" s="3"/>
      <c r="J130" s="2"/>
      <c r="K130" s="2"/>
    </row>
    <row r="131" spans="1:11" ht="15.45" x14ac:dyDescent="0.4">
      <c r="A131" s="48"/>
      <c r="B131" s="22"/>
      <c r="C131" s="22"/>
      <c r="D131" s="22"/>
      <c r="E131" s="22"/>
      <c r="F131" s="22"/>
      <c r="G131" s="37"/>
      <c r="H131" s="59"/>
      <c r="I131" s="13" t="s">
        <v>171</v>
      </c>
      <c r="J131" s="2"/>
      <c r="K131" s="2"/>
    </row>
    <row r="132" spans="1:11" ht="15.45" x14ac:dyDescent="0.4">
      <c r="A132" s="167"/>
      <c r="B132" s="22"/>
      <c r="C132" s="22"/>
      <c r="D132" s="22"/>
      <c r="E132" s="37" t="s">
        <v>150</v>
      </c>
      <c r="F132" s="22"/>
      <c r="G132" s="38">
        <f ca="1">G129+G130</f>
        <v>222.74742508765516</v>
      </c>
      <c r="H132" s="166"/>
      <c r="I132" s="13" t="s">
        <v>172</v>
      </c>
      <c r="J132" s="2"/>
      <c r="K132" s="2"/>
    </row>
    <row r="133" spans="1:11" ht="15.45" x14ac:dyDescent="0.4">
      <c r="A133" s="112"/>
      <c r="B133" s="27"/>
      <c r="C133" s="27"/>
      <c r="D133" s="27"/>
      <c r="E133" s="162"/>
      <c r="F133" s="162"/>
      <c r="G133" s="162"/>
      <c r="H133" s="168"/>
      <c r="I133" s="13" t="s">
        <v>173</v>
      </c>
      <c r="J133" s="2"/>
      <c r="K133" s="2"/>
    </row>
    <row r="134" spans="1:11" ht="15.45" x14ac:dyDescent="0.4">
      <c r="A134" s="163"/>
      <c r="B134" s="163"/>
      <c r="C134" s="163"/>
      <c r="D134" s="163"/>
      <c r="E134" s="163"/>
      <c r="F134" s="163"/>
      <c r="G134" s="163"/>
      <c r="H134" s="163"/>
      <c r="I134" s="3"/>
      <c r="J134" s="2"/>
      <c r="K134" s="2"/>
    </row>
    <row r="135" spans="1:11" ht="15.45" x14ac:dyDescent="0.4">
      <c r="A135" s="99"/>
      <c r="B135" s="19" t="s">
        <v>152</v>
      </c>
      <c r="C135" s="18"/>
      <c r="D135" s="18"/>
      <c r="E135" s="18"/>
      <c r="F135" s="18"/>
      <c r="G135" s="169">
        <f ca="1">IF(E125&gt;0,1-I152,I152)</f>
        <v>0.38369437957029257</v>
      </c>
      <c r="H135" s="170" t="s">
        <v>17</v>
      </c>
      <c r="I135" s="3"/>
      <c r="J135" s="2"/>
      <c r="K135" s="2"/>
    </row>
    <row r="136" spans="1:11" ht="15.45" x14ac:dyDescent="0.4">
      <c r="A136" s="48"/>
      <c r="B136" s="37" t="s">
        <v>153</v>
      </c>
      <c r="C136" s="22"/>
      <c r="D136" s="155">
        <v>0</v>
      </c>
      <c r="E136" s="171" t="str">
        <f>IF(G48="/porc","/porc profit  ==&gt;","/kg profit   ==&gt;")</f>
        <v>/kg profit   ==&gt;</v>
      </c>
      <c r="F136" s="42"/>
      <c r="G136" s="161">
        <f ca="1">IF(D136-E125&gt;0,J142,1-J142)</f>
        <v>0.38369437957029257</v>
      </c>
      <c r="H136" s="172" t="s">
        <v>18</v>
      </c>
      <c r="I136" s="3"/>
      <c r="J136" s="2"/>
      <c r="K136" s="2"/>
    </row>
    <row r="137" spans="1:11" ht="15.45" x14ac:dyDescent="0.4">
      <c r="A137" s="48"/>
      <c r="B137" s="37"/>
      <c r="C137" s="22"/>
      <c r="D137" s="173"/>
      <c r="E137" s="23"/>
      <c r="F137" s="42"/>
      <c r="G137" s="161"/>
      <c r="H137" s="172"/>
      <c r="I137" s="3"/>
      <c r="J137" s="2"/>
      <c r="K137" s="2"/>
    </row>
    <row r="138" spans="1:11" ht="15.45" x14ac:dyDescent="0.4">
      <c r="A138" s="48"/>
      <c r="B138" s="174" t="s">
        <v>155</v>
      </c>
      <c r="C138" s="22"/>
      <c r="D138" s="37" t="s">
        <v>156</v>
      </c>
      <c r="E138" s="42"/>
      <c r="F138" s="42"/>
      <c r="G138" s="38">
        <f>I146/F119</f>
        <v>0.33354866097402297</v>
      </c>
      <c r="H138" s="175" t="str">
        <f>IF(G138&lt;=0.2499,"faible risque",IF(AND(G138&gt;0.2499,G138&lt;0.4),"risque modéré","risque élevé"))</f>
        <v>risque modéré</v>
      </c>
      <c r="I138" s="10"/>
      <c r="J138" s="5" t="s">
        <v>28</v>
      </c>
      <c r="K138" s="5" t="s">
        <v>29</v>
      </c>
    </row>
    <row r="139" spans="1:11" ht="15.45" x14ac:dyDescent="0.4">
      <c r="A139" s="48"/>
      <c r="B139" s="22"/>
      <c r="C139" s="22"/>
      <c r="D139" s="22"/>
      <c r="E139" s="22"/>
      <c r="F139" s="22"/>
      <c r="G139" s="22"/>
      <c r="H139" s="172" t="s">
        <v>19</v>
      </c>
      <c r="I139" s="10">
        <f>(E29-G29)/2</f>
        <v>38.5</v>
      </c>
      <c r="J139" s="3">
        <f ca="1">ABS((E125-D136)/I147)</f>
        <v>0.2957923959074959</v>
      </c>
      <c r="K139" s="3">
        <f ca="1">ABS(F152/I147)</f>
        <v>0.11605618009836055</v>
      </c>
    </row>
    <row r="140" spans="1:11" ht="15.45" x14ac:dyDescent="0.4">
      <c r="A140" s="48"/>
      <c r="B140" s="22"/>
      <c r="C140" s="23" t="str">
        <f>IF(G48="/porc","Profits/porc","Profits/kg")</f>
        <v>Profits/kg</v>
      </c>
      <c r="D140" s="22"/>
      <c r="E140" s="37" t="s">
        <v>154</v>
      </c>
      <c r="F140" s="42"/>
      <c r="G140" s="42"/>
      <c r="H140" s="172" t="s">
        <v>20</v>
      </c>
      <c r="I140" s="10">
        <f>(E28-G28)/200*D9</f>
        <v>361.73913043478257</v>
      </c>
      <c r="J140" s="3">
        <f ca="1">1/(1+(0.2316419*J139))</f>
        <v>0.93587574734497969</v>
      </c>
      <c r="K140" s="3">
        <f ca="1">1/(1+(0.2316419*K139))</f>
        <v>0.97382032650860262</v>
      </c>
    </row>
    <row r="141" spans="1:11" ht="15.45" x14ac:dyDescent="0.4">
      <c r="A141" s="48"/>
      <c r="B141" s="22"/>
      <c r="C141" s="22"/>
      <c r="D141" s="22"/>
      <c r="E141" s="23" t="str">
        <f>IF(G48="/porc","ce profit par porc", "ce profit par kg")</f>
        <v>ce profit par kg</v>
      </c>
      <c r="F141" s="38"/>
      <c r="G141" s="133"/>
      <c r="H141" s="172" t="s">
        <v>21</v>
      </c>
      <c r="I141" s="10">
        <f>((H7*I139)^2+(F29*I140)^2+(I139*I140)^2)</f>
        <v>105695960203.48628</v>
      </c>
      <c r="J141" s="3">
        <f ca="1">0.398942281*EXP(J139^2/-2)</f>
        <v>0.38186615840294136</v>
      </c>
      <c r="K141" s="3">
        <f ca="1">0.398942281*EXP(K139^2/-2)</f>
        <v>0.39626462332800128</v>
      </c>
    </row>
    <row r="142" spans="1:11" ht="15.45" x14ac:dyDescent="0.4">
      <c r="A142" s="48"/>
      <c r="B142" s="22"/>
      <c r="C142" s="22"/>
      <c r="D142" s="22"/>
      <c r="E142" s="38"/>
      <c r="F142" s="22"/>
      <c r="G142" s="38"/>
      <c r="H142" s="172" t="s">
        <v>22</v>
      </c>
      <c r="I142" s="12">
        <f>E38*(E32-G32)/2^2</f>
        <v>0</v>
      </c>
      <c r="J142" s="3">
        <f ca="1">J141*(0.31938153*J140-0.356563782*J140^2+1.781477937*J140^3-1.821255978*J140^4+1.330274429*J140^5)</f>
        <v>0.38369437957029257</v>
      </c>
      <c r="K142" s="3">
        <f ca="1">K141*(0.31938153*K140-0.356563782*K140^2+1.781477937*K140^3-1.821255978*K140^4+1.330274429*K140^5)</f>
        <v>0.45380396136253592</v>
      </c>
    </row>
    <row r="143" spans="1:11" ht="15.45" x14ac:dyDescent="0.4">
      <c r="A143" s="48"/>
      <c r="B143" s="23"/>
      <c r="C143" s="38">
        <f ca="1">E125+0.97*I147</f>
        <v>53.161878698425333</v>
      </c>
      <c r="D143" s="22"/>
      <c r="E143" s="37" t="s">
        <v>23</v>
      </c>
      <c r="F143" s="22"/>
      <c r="G143" s="22"/>
      <c r="H143" s="172" t="s">
        <v>24</v>
      </c>
      <c r="I143" s="12">
        <f>E37*(E31-G31)/2^2</f>
        <v>0</v>
      </c>
      <c r="J143" s="3"/>
      <c r="K143" s="3"/>
    </row>
    <row r="144" spans="1:11" ht="15.45" x14ac:dyDescent="0.4">
      <c r="A144" s="176"/>
      <c r="B144" s="22"/>
      <c r="C144" s="38">
        <f ca="1">E125+0.43*I147</f>
        <v>10.582390833125459</v>
      </c>
      <c r="D144" s="23"/>
      <c r="E144" s="37" t="s">
        <v>25</v>
      </c>
      <c r="F144" s="22"/>
      <c r="G144" s="38"/>
      <c r="H144" s="172" t="s">
        <v>70</v>
      </c>
      <c r="I144" s="10">
        <f>(F33/100*SUM(H51:H63))^2</f>
        <v>58771458337.488525</v>
      </c>
      <c r="J144" s="3"/>
      <c r="K144" s="3"/>
    </row>
    <row r="145" spans="1:11" ht="15.45" x14ac:dyDescent="0.4">
      <c r="A145" s="176"/>
      <c r="B145" s="42"/>
      <c r="C145" s="38">
        <f ca="1">E125</f>
        <v>-23.323497652205923</v>
      </c>
      <c r="D145" s="38"/>
      <c r="E145" s="37" t="s">
        <v>26</v>
      </c>
      <c r="F145" s="22"/>
      <c r="G145" s="38"/>
      <c r="H145" s="43"/>
      <c r="I145" s="10">
        <f>((E30-G30)/2*D10*D9)^2</f>
        <v>247398109640.83173</v>
      </c>
      <c r="J145" s="3"/>
      <c r="K145" s="3"/>
    </row>
    <row r="146" spans="1:11" ht="15.45" hidden="1" x14ac:dyDescent="0.4">
      <c r="A146" s="48"/>
      <c r="B146" s="23"/>
      <c r="C146" s="38">
        <f ca="1">E125-0.43*I147</f>
        <v>-57.229386137537304</v>
      </c>
      <c r="D146" s="22"/>
      <c r="E146" s="37" t="s">
        <v>30</v>
      </c>
      <c r="F146" s="22"/>
      <c r="G146" s="38"/>
      <c r="H146" s="172" t="s">
        <v>31</v>
      </c>
      <c r="I146" s="10">
        <f>SQRT(SUM(I141:I145)+(2*(I142*I143)^0.5))</f>
        <v>641767.50321421423</v>
      </c>
      <c r="J146" s="3"/>
      <c r="K146" s="3"/>
    </row>
    <row r="147" spans="1:11" ht="15.45" hidden="1" x14ac:dyDescent="0.4">
      <c r="A147" s="176"/>
      <c r="B147" s="38"/>
      <c r="C147" s="38">
        <f ca="1">E125-0.97*I147</f>
        <v>-99.808874002837172</v>
      </c>
      <c r="D147" s="22"/>
      <c r="E147" s="37" t="s">
        <v>32</v>
      </c>
      <c r="F147" s="22"/>
      <c r="G147" s="38"/>
      <c r="H147" s="172" t="s">
        <v>33</v>
      </c>
      <c r="I147" s="10">
        <f>I146/G50</f>
        <v>78.850903454259026</v>
      </c>
      <c r="J147" s="3"/>
      <c r="K147" s="3"/>
    </row>
    <row r="148" spans="1:11" ht="15.45" hidden="1" x14ac:dyDescent="0.4">
      <c r="A148" s="48"/>
      <c r="B148" s="23"/>
      <c r="C148" s="22"/>
      <c r="D148" s="22"/>
      <c r="E148" s="23"/>
      <c r="F148" s="22"/>
      <c r="G148" s="133"/>
      <c r="H148" s="172" t="s">
        <v>34</v>
      </c>
      <c r="I148" s="11" t="s">
        <v>27</v>
      </c>
      <c r="J148" s="3"/>
      <c r="K148" s="3"/>
    </row>
    <row r="149" spans="1:11" ht="15.45" hidden="1" x14ac:dyDescent="0.4">
      <c r="A149" s="36"/>
      <c r="B149" s="22"/>
      <c r="C149" s="22"/>
      <c r="D149" s="22"/>
      <c r="E149" s="22"/>
      <c r="F149" s="22"/>
      <c r="G149" s="22"/>
      <c r="H149" s="172" t="s">
        <v>35</v>
      </c>
      <c r="I149" s="10">
        <f ca="1">ABS(E125/I147)</f>
        <v>0.2957923959074959</v>
      </c>
      <c r="J149" s="3"/>
      <c r="K149" s="3"/>
    </row>
    <row r="150" spans="1:11" ht="15.45" hidden="1" x14ac:dyDescent="0.4">
      <c r="A150" s="48"/>
      <c r="B150" s="38"/>
      <c r="C150" s="22"/>
      <c r="D150" s="22"/>
      <c r="E150" s="22"/>
      <c r="F150" s="161"/>
      <c r="G150" s="133"/>
      <c r="H150" s="166"/>
      <c r="I150" s="10">
        <f ca="1">1/(1+(0.2316419*I149))</f>
        <v>0.93587574734497969</v>
      </c>
      <c r="J150" s="3"/>
      <c r="K150" s="3"/>
    </row>
    <row r="151" spans="1:11" ht="15.45" hidden="1" x14ac:dyDescent="0.4">
      <c r="A151" s="48"/>
      <c r="B151" s="37"/>
      <c r="C151" s="37" t="s">
        <v>71</v>
      </c>
      <c r="D151" s="22"/>
      <c r="E151" s="23"/>
      <c r="F151" s="135">
        <v>50</v>
      </c>
      <c r="G151" s="37" t="s">
        <v>36</v>
      </c>
      <c r="H151" s="166"/>
      <c r="I151" s="10">
        <f ca="1">0.398942281*EXP(I149^2/-2)</f>
        <v>0.38186615840294136</v>
      </c>
      <c r="J151" s="3"/>
      <c r="K151" s="3"/>
    </row>
    <row r="152" spans="1:11" ht="15.45" x14ac:dyDescent="0.4">
      <c r="A152" s="48"/>
      <c r="B152" s="23"/>
      <c r="C152" s="23" t="str">
        <f>IF(H48="/porc","aors le profit anticipé par porc est ","alors le profit anticipé par kg est")</f>
        <v>alors le profit anticipé par kg est</v>
      </c>
      <c r="D152" s="22"/>
      <c r="E152" s="23"/>
      <c r="F152" s="38">
        <f ca="1">E125+(F30-F151)*D10*(1+IF(E105&gt;0,0,C105*D105*0.0001))</f>
        <v>-9.1511346522059256</v>
      </c>
      <c r="G152" s="23" t="str">
        <f>IF(G48="/porc","/porc","/kg")</f>
        <v>/kg</v>
      </c>
      <c r="H152" s="166"/>
      <c r="I152" s="10">
        <f ca="1">I151*(0.31938153*I150-0.356563782*I150^2+1.781477937*I150^3-1.821255978*I150^4+1.330274429*I150^5)</f>
        <v>0.38369437957029257</v>
      </c>
      <c r="J152" s="3"/>
      <c r="K152" s="3"/>
    </row>
    <row r="153" spans="1:11" ht="15.45" x14ac:dyDescent="0.4">
      <c r="A153" s="48"/>
      <c r="B153" s="37"/>
      <c r="C153" s="37" t="s">
        <v>165</v>
      </c>
      <c r="D153" s="22"/>
      <c r="E153" s="23"/>
      <c r="F153" s="161">
        <f ca="1">IF(F152&gt;0,1-K142,K142)</f>
        <v>0.45380396136253592</v>
      </c>
      <c r="G153" s="133"/>
      <c r="H153" s="166"/>
      <c r="I153" s="10"/>
      <c r="J153" s="3"/>
      <c r="K153" s="3"/>
    </row>
    <row r="154" spans="1:11" ht="15.45" x14ac:dyDescent="0.4">
      <c r="A154" s="112"/>
      <c r="B154" s="114"/>
      <c r="C154" s="162" t="s">
        <v>164</v>
      </c>
      <c r="D154" s="27"/>
      <c r="E154" s="113"/>
      <c r="F154" s="27"/>
      <c r="G154" s="177"/>
      <c r="H154" s="178" t="s">
        <v>37</v>
      </c>
      <c r="I154" s="10"/>
      <c r="J154" s="2"/>
      <c r="K154" s="2"/>
    </row>
    <row r="155" spans="1:11" ht="15.45" x14ac:dyDescent="0.4">
      <c r="A155" s="179" t="s">
        <v>179</v>
      </c>
      <c r="B155" s="180"/>
      <c r="C155" s="181"/>
      <c r="D155" s="181"/>
      <c r="E155" s="182"/>
      <c r="F155" s="181"/>
      <c r="G155" s="181"/>
      <c r="H155" s="183"/>
      <c r="I155" s="10"/>
      <c r="J155" s="2"/>
      <c r="K155" s="2"/>
    </row>
    <row r="156" spans="1:11" ht="15.45" x14ac:dyDescent="0.4">
      <c r="A156" s="184"/>
      <c r="B156" s="185"/>
      <c r="C156" s="186"/>
      <c r="D156" s="186"/>
      <c r="E156" s="187"/>
      <c r="F156" s="186"/>
      <c r="G156" s="186"/>
      <c r="H156" s="188"/>
      <c r="I156" s="10"/>
      <c r="J156" s="2"/>
      <c r="K156" s="2"/>
    </row>
    <row r="157" spans="1:11" ht="15.45" x14ac:dyDescent="0.4">
      <c r="A157" s="189"/>
      <c r="B157" s="190"/>
      <c r="C157" s="190"/>
      <c r="D157" s="191" t="s">
        <v>56</v>
      </c>
      <c r="E157" s="190"/>
      <c r="F157" s="190"/>
      <c r="G157" s="190"/>
      <c r="H157" s="192"/>
      <c r="I157" s="10"/>
      <c r="J157" s="2"/>
      <c r="K157" s="2"/>
    </row>
    <row r="158" spans="1:11" ht="15.45" x14ac:dyDescent="0.4">
      <c r="A158" s="193"/>
      <c r="B158" s="190"/>
      <c r="C158" s="190"/>
      <c r="D158" s="190"/>
      <c r="E158" s="190"/>
      <c r="F158" s="190"/>
      <c r="G158" s="190"/>
      <c r="H158" s="192"/>
      <c r="I158" s="10"/>
      <c r="J158" s="2"/>
      <c r="K158" s="2"/>
    </row>
    <row r="159" spans="1:11" ht="15.45" x14ac:dyDescent="0.4">
      <c r="A159" s="194"/>
      <c r="B159" s="190"/>
      <c r="C159" s="190"/>
      <c r="D159" s="194" t="s">
        <v>55</v>
      </c>
      <c r="E159" s="195"/>
      <c r="F159" s="195"/>
      <c r="G159" s="190"/>
      <c r="H159" s="192"/>
      <c r="I159" s="10"/>
      <c r="J159" s="2"/>
      <c r="K159" s="2"/>
    </row>
    <row r="160" spans="1:11" ht="15.45" x14ac:dyDescent="0.4">
      <c r="A160" s="196"/>
      <c r="B160" s="190"/>
      <c r="C160" s="190"/>
      <c r="D160" s="194" t="s">
        <v>180</v>
      </c>
      <c r="E160" s="195"/>
      <c r="F160" s="195"/>
      <c r="G160" s="190"/>
      <c r="H160" s="192"/>
      <c r="I160" s="3"/>
      <c r="J160" s="2"/>
      <c r="K160" s="2"/>
    </row>
    <row r="161" spans="1:11" ht="15.45" x14ac:dyDescent="0.4">
      <c r="A161" s="193"/>
      <c r="B161" s="190"/>
      <c r="C161" s="190"/>
      <c r="D161" s="197" t="s">
        <v>174</v>
      </c>
      <c r="E161" s="195"/>
      <c r="F161" s="195"/>
      <c r="G161" s="190"/>
      <c r="H161" s="192"/>
      <c r="I161" s="3"/>
      <c r="J161" s="2"/>
      <c r="K161" s="2"/>
    </row>
    <row r="162" spans="1:11" ht="15.45" x14ac:dyDescent="0.4">
      <c r="A162" s="193"/>
      <c r="B162" s="190"/>
      <c r="C162" s="190"/>
      <c r="D162" s="198" t="s">
        <v>54</v>
      </c>
      <c r="E162" s="195"/>
      <c r="F162" s="195"/>
      <c r="G162" s="190"/>
      <c r="H162" s="192"/>
      <c r="I162" s="3"/>
      <c r="J162" s="2"/>
      <c r="K162" s="2"/>
    </row>
    <row r="163" spans="1:11" ht="15.45" x14ac:dyDescent="0.4">
      <c r="A163" s="199"/>
      <c r="B163" s="200"/>
      <c r="C163" s="200"/>
      <c r="D163" s="214"/>
      <c r="E163" s="201"/>
      <c r="F163" s="201"/>
      <c r="G163" s="202"/>
      <c r="H163" s="203"/>
      <c r="I163" s="3"/>
      <c r="J163" s="2"/>
      <c r="K163" s="2"/>
    </row>
    <row r="164" spans="1:11" ht="15.45" x14ac:dyDescent="0.4">
      <c r="A164" s="215" t="s">
        <v>177</v>
      </c>
      <c r="B164" s="216"/>
      <c r="C164" s="216"/>
      <c r="D164" s="217"/>
      <c r="E164" s="217"/>
      <c r="F164" s="218"/>
      <c r="G164" s="218"/>
      <c r="H164" s="216"/>
      <c r="I164" s="2"/>
      <c r="J164" s="2"/>
      <c r="K164" s="2"/>
    </row>
    <row r="165" spans="1:11" ht="15.45" x14ac:dyDescent="0.4">
      <c r="A165" s="205"/>
      <c r="B165" s="205"/>
      <c r="C165" s="205"/>
      <c r="D165" s="205"/>
      <c r="E165" s="205"/>
      <c r="F165" s="205"/>
      <c r="G165" s="205"/>
      <c r="H165" s="205"/>
      <c r="I165" s="2"/>
      <c r="J165" s="2"/>
      <c r="K165" s="2"/>
    </row>
    <row r="166" spans="1:11" ht="15.45" x14ac:dyDescent="0.4">
      <c r="A166" s="204"/>
      <c r="B166" s="205"/>
      <c r="C166" s="205"/>
      <c r="D166" s="205"/>
      <c r="E166" s="205"/>
      <c r="F166" s="205"/>
      <c r="G166" s="205"/>
      <c r="H166" s="205"/>
      <c r="I166" s="2"/>
      <c r="J166" s="2"/>
      <c r="K166" s="2"/>
    </row>
    <row r="167" spans="1:11" ht="15.45" x14ac:dyDescent="0.4">
      <c r="A167" s="204"/>
      <c r="B167" s="205"/>
      <c r="C167" s="204"/>
      <c r="D167" s="205"/>
      <c r="E167" s="205"/>
      <c r="F167" s="205"/>
      <c r="G167" s="205"/>
      <c r="H167" s="205"/>
      <c r="I167" s="2"/>
      <c r="J167" s="2"/>
      <c r="K167" s="2"/>
    </row>
    <row r="168" spans="1:11" ht="15.45" x14ac:dyDescent="0.4">
      <c r="A168" s="204"/>
      <c r="B168" s="205"/>
      <c r="C168" s="205"/>
      <c r="D168" s="207"/>
      <c r="E168" s="205"/>
      <c r="F168" s="204"/>
      <c r="G168" s="205"/>
      <c r="H168" s="204"/>
      <c r="I168" s="2"/>
      <c r="J168" s="2"/>
      <c r="K168" s="2"/>
    </row>
    <row r="169" spans="1:11" ht="15.45" x14ac:dyDescent="0.4">
      <c r="A169" s="204"/>
      <c r="B169" s="205"/>
      <c r="C169" s="205"/>
      <c r="D169" s="204"/>
      <c r="E169" s="205"/>
      <c r="F169" s="204"/>
      <c r="G169" s="205"/>
      <c r="H169" s="206"/>
      <c r="I169" s="2"/>
      <c r="J169" s="2"/>
      <c r="K169" s="2"/>
    </row>
    <row r="170" spans="1:11" ht="15.9" x14ac:dyDescent="0.45">
      <c r="A170" s="208"/>
      <c r="B170" s="209"/>
      <c r="C170" s="209"/>
      <c r="D170" s="208"/>
      <c r="E170" s="209"/>
      <c r="F170" s="208"/>
      <c r="G170" s="209"/>
      <c r="H170" s="209"/>
      <c r="I170" s="2"/>
      <c r="J170" s="2"/>
      <c r="K170" s="2"/>
    </row>
    <row r="171" spans="1:11" ht="15.9" x14ac:dyDescent="0.45">
      <c r="A171" s="208"/>
      <c r="B171" s="209"/>
      <c r="C171" s="209"/>
      <c r="D171" s="210"/>
      <c r="E171" s="209"/>
      <c r="F171" s="208"/>
      <c r="G171" s="209"/>
      <c r="H171" s="210"/>
      <c r="I171" s="2"/>
      <c r="J171" s="2"/>
      <c r="K171" s="2"/>
    </row>
    <row r="172" spans="1:11" ht="15.9" x14ac:dyDescent="0.45">
      <c r="A172" s="209"/>
      <c r="B172" s="209"/>
      <c r="C172" s="209"/>
      <c r="D172" s="209"/>
      <c r="E172" s="209"/>
      <c r="F172" s="208"/>
      <c r="G172" s="209"/>
      <c r="H172" s="208"/>
      <c r="I172" s="2"/>
      <c r="J172" s="2"/>
      <c r="K172" s="2"/>
    </row>
    <row r="173" spans="1:11" ht="15.9" x14ac:dyDescent="0.45">
      <c r="A173" s="208"/>
      <c r="B173" s="209"/>
      <c r="C173" s="209"/>
      <c r="D173" s="209"/>
      <c r="E173" s="209"/>
      <c r="F173" s="209"/>
      <c r="G173" s="209"/>
      <c r="H173" s="209"/>
      <c r="I173" s="2"/>
      <c r="J173" s="2"/>
      <c r="K173" s="2"/>
    </row>
    <row r="174" spans="1:11" ht="15.9" x14ac:dyDescent="0.45">
      <c r="A174" s="208"/>
      <c r="B174" s="209"/>
      <c r="C174" s="209"/>
      <c r="D174" s="209"/>
      <c r="E174" s="209"/>
      <c r="F174" s="209"/>
      <c r="G174" s="209"/>
      <c r="H174" s="209"/>
      <c r="I174" s="2"/>
      <c r="J174" s="2"/>
      <c r="K174" s="2"/>
    </row>
    <row r="175" spans="1:11" ht="15.9" x14ac:dyDescent="0.45">
      <c r="A175" s="208"/>
      <c r="B175" s="209"/>
      <c r="C175" s="209"/>
      <c r="D175" s="209"/>
      <c r="E175" s="209"/>
      <c r="F175" s="209"/>
      <c r="G175" s="209"/>
      <c r="H175" s="208"/>
      <c r="I175" s="2"/>
      <c r="J175" s="2"/>
      <c r="K175" s="2"/>
    </row>
    <row r="176" spans="1:11" ht="15.9" x14ac:dyDescent="0.45">
      <c r="A176" s="209"/>
      <c r="B176" s="209"/>
      <c r="C176" s="209"/>
      <c r="D176" s="208"/>
      <c r="E176" s="209"/>
      <c r="F176" s="209"/>
      <c r="G176" s="209"/>
      <c r="H176" s="211"/>
      <c r="I176" s="2"/>
      <c r="J176" s="2"/>
      <c r="K176" s="2"/>
    </row>
    <row r="177" spans="1:11" ht="15.9" x14ac:dyDescent="0.45">
      <c r="A177" s="209"/>
      <c r="B177" s="209"/>
      <c r="C177" s="209"/>
      <c r="D177" s="209"/>
      <c r="E177" s="209"/>
      <c r="F177" s="209"/>
      <c r="G177" s="209"/>
      <c r="H177" s="209"/>
      <c r="I177" s="2"/>
      <c r="J177" s="2"/>
      <c r="K177" s="2"/>
    </row>
    <row r="178" spans="1:11" ht="15.9" x14ac:dyDescent="0.45">
      <c r="A178" s="209"/>
      <c r="B178" s="209"/>
      <c r="C178" s="209"/>
      <c r="D178" s="209"/>
      <c r="E178" s="209"/>
      <c r="F178" s="209"/>
      <c r="G178" s="209"/>
      <c r="H178" s="209"/>
      <c r="I178" s="2"/>
      <c r="J178" s="2"/>
      <c r="K178" s="2"/>
    </row>
    <row r="179" spans="1:11" ht="15.9" x14ac:dyDescent="0.45">
      <c r="A179" s="209"/>
      <c r="B179" s="209"/>
      <c r="C179" s="209"/>
      <c r="D179" s="209"/>
      <c r="E179" s="209"/>
      <c r="F179" s="209"/>
      <c r="G179" s="209"/>
      <c r="H179" s="209"/>
      <c r="I179" s="2"/>
      <c r="J179" s="2"/>
      <c r="K179" s="2"/>
    </row>
    <row r="180" spans="1:11" ht="15.9" x14ac:dyDescent="0.45">
      <c r="A180" s="209"/>
      <c r="B180" s="209"/>
      <c r="C180" s="209"/>
      <c r="D180" s="209"/>
      <c r="E180" s="209"/>
      <c r="F180" s="209"/>
      <c r="G180" s="209"/>
      <c r="H180" s="209"/>
      <c r="I180" s="2"/>
      <c r="J180" s="2"/>
      <c r="K180" s="2"/>
    </row>
    <row r="181" spans="1:11" ht="15.9" x14ac:dyDescent="0.45">
      <c r="A181" s="209"/>
      <c r="B181" s="209"/>
      <c r="C181" s="209"/>
      <c r="D181" s="209"/>
      <c r="E181" s="209"/>
      <c r="F181" s="209"/>
      <c r="G181" s="209"/>
      <c r="H181" s="209"/>
      <c r="I181" s="2"/>
      <c r="J181" s="2"/>
      <c r="K181" s="2"/>
    </row>
    <row r="182" spans="1:11" ht="15.9" x14ac:dyDescent="0.45">
      <c r="A182" s="209"/>
      <c r="B182" s="209"/>
      <c r="C182" s="209"/>
      <c r="D182" s="209"/>
      <c r="E182" s="209"/>
      <c r="F182" s="209"/>
      <c r="G182" s="209"/>
      <c r="H182" s="209"/>
      <c r="I182" s="2"/>
      <c r="J182" s="2"/>
      <c r="K182" s="2"/>
    </row>
    <row r="183" spans="1:11" ht="15.9" x14ac:dyDescent="0.45">
      <c r="A183" s="209"/>
      <c r="B183" s="209"/>
      <c r="C183" s="209"/>
      <c r="D183" s="209"/>
      <c r="E183" s="209"/>
      <c r="F183" s="209"/>
      <c r="G183" s="209"/>
      <c r="H183" s="209"/>
      <c r="I183" s="2"/>
      <c r="J183" s="2"/>
      <c r="K183" s="2"/>
    </row>
    <row r="184" spans="1:11" ht="15.9" x14ac:dyDescent="0.45">
      <c r="A184" s="209"/>
      <c r="B184" s="209"/>
      <c r="C184" s="209"/>
      <c r="D184" s="209"/>
      <c r="E184" s="209"/>
      <c r="F184" s="209"/>
      <c r="G184" s="209"/>
      <c r="H184" s="209"/>
      <c r="I184" s="2"/>
      <c r="J184" s="2"/>
      <c r="K184" s="2"/>
    </row>
    <row r="185" spans="1:11" ht="15.9" x14ac:dyDescent="0.45">
      <c r="A185" s="209"/>
      <c r="B185" s="209"/>
      <c r="C185" s="209"/>
      <c r="D185" s="209"/>
      <c r="E185" s="209"/>
      <c r="F185" s="209"/>
      <c r="G185" s="209"/>
      <c r="H185" s="209"/>
      <c r="I185" s="2"/>
      <c r="J185" s="2"/>
      <c r="K185" s="2"/>
    </row>
    <row r="186" spans="1:11" ht="15.9" x14ac:dyDescent="0.45">
      <c r="A186" s="209"/>
      <c r="B186" s="209"/>
      <c r="C186" s="209"/>
      <c r="D186" s="209"/>
      <c r="E186" s="209"/>
      <c r="F186" s="209"/>
      <c r="G186" s="209"/>
      <c r="H186" s="209"/>
      <c r="I186" s="2"/>
      <c r="J186" s="2"/>
      <c r="K186" s="2"/>
    </row>
    <row r="187" spans="1:11" ht="15.9" x14ac:dyDescent="0.45">
      <c r="A187" s="209"/>
      <c r="B187" s="209"/>
      <c r="C187" s="209"/>
      <c r="D187" s="209"/>
      <c r="E187" s="209"/>
      <c r="F187" s="209"/>
      <c r="G187" s="209"/>
      <c r="H187" s="209"/>
      <c r="I187" s="2"/>
      <c r="J187" s="2"/>
      <c r="K187" s="2"/>
    </row>
    <row r="188" spans="1:11" ht="15.9" x14ac:dyDescent="0.45">
      <c r="A188" s="209"/>
      <c r="B188" s="209"/>
      <c r="C188" s="209"/>
      <c r="D188" s="209"/>
      <c r="E188" s="209"/>
      <c r="F188" s="209"/>
      <c r="G188" s="209"/>
      <c r="H188" s="209"/>
      <c r="I188" s="2"/>
      <c r="J188" s="2"/>
      <c r="K188" s="2"/>
    </row>
    <row r="189" spans="1:11" ht="15.9" x14ac:dyDescent="0.45">
      <c r="A189" s="209"/>
      <c r="B189" s="209"/>
      <c r="C189" s="209"/>
      <c r="D189" s="209"/>
      <c r="E189" s="209"/>
      <c r="F189" s="209"/>
      <c r="G189" s="209"/>
      <c r="H189" s="209"/>
      <c r="I189" s="2"/>
      <c r="J189" s="2"/>
      <c r="K189" s="2"/>
    </row>
    <row r="190" spans="1:11" ht="15.9" x14ac:dyDescent="0.45">
      <c r="A190" s="209"/>
      <c r="B190" s="209"/>
      <c r="C190" s="209"/>
      <c r="D190" s="209"/>
      <c r="E190" s="209"/>
      <c r="F190" s="209"/>
      <c r="G190" s="209"/>
      <c r="H190" s="209"/>
      <c r="I190" s="2"/>
      <c r="J190" s="2"/>
      <c r="K190" s="2"/>
    </row>
    <row r="191" spans="1:11" ht="15.9" x14ac:dyDescent="0.45">
      <c r="A191" s="209"/>
      <c r="B191" s="209"/>
      <c r="C191" s="209"/>
      <c r="D191" s="209"/>
      <c r="E191" s="209"/>
      <c r="F191" s="209"/>
      <c r="G191" s="209"/>
      <c r="H191" s="209"/>
      <c r="I191" s="2"/>
      <c r="J191" s="2"/>
      <c r="K191" s="2"/>
    </row>
    <row r="192" spans="1:11" ht="15.9" x14ac:dyDescent="0.45">
      <c r="A192" s="209"/>
      <c r="B192" s="209"/>
      <c r="C192" s="209"/>
      <c r="D192" s="209"/>
      <c r="E192" s="209"/>
      <c r="F192" s="209"/>
      <c r="G192" s="209"/>
      <c r="H192" s="209"/>
      <c r="I192" s="2"/>
      <c r="J192" s="2"/>
      <c r="K192" s="2"/>
    </row>
    <row r="193" spans="1:11" ht="15.9" x14ac:dyDescent="0.45">
      <c r="A193" s="209"/>
      <c r="B193" s="209"/>
      <c r="C193" s="209"/>
      <c r="D193" s="209"/>
      <c r="E193" s="209"/>
      <c r="F193" s="209"/>
      <c r="G193" s="209"/>
      <c r="H193" s="209"/>
      <c r="I193" s="2"/>
      <c r="J193" s="2"/>
      <c r="K193" s="2"/>
    </row>
    <row r="194" spans="1:11" ht="15.9" x14ac:dyDescent="0.45">
      <c r="A194" s="209"/>
      <c r="B194" s="209"/>
      <c r="C194" s="209"/>
      <c r="D194" s="209"/>
      <c r="E194" s="209"/>
      <c r="F194" s="209"/>
      <c r="G194" s="209"/>
      <c r="H194" s="209"/>
      <c r="I194" s="2"/>
      <c r="J194" s="2"/>
      <c r="K194" s="2"/>
    </row>
    <row r="195" spans="1:11" ht="15.9" x14ac:dyDescent="0.45">
      <c r="A195" s="209"/>
      <c r="B195" s="209"/>
      <c r="C195" s="209"/>
      <c r="D195" s="209"/>
      <c r="E195" s="209"/>
      <c r="F195" s="209"/>
      <c r="G195" s="209"/>
      <c r="H195" s="209"/>
      <c r="I195" s="2"/>
      <c r="J195" s="2"/>
      <c r="K195" s="2"/>
    </row>
    <row r="196" spans="1:11" ht="15.9" x14ac:dyDescent="0.45">
      <c r="A196" s="209"/>
      <c r="B196" s="209"/>
      <c r="C196" s="209"/>
      <c r="D196" s="209"/>
      <c r="E196" s="209"/>
      <c r="F196" s="209"/>
      <c r="G196" s="209"/>
      <c r="H196" s="209"/>
      <c r="I196" s="2"/>
      <c r="J196" s="2"/>
      <c r="K196" s="2"/>
    </row>
    <row r="197" spans="1:11" ht="15.9" x14ac:dyDescent="0.45">
      <c r="A197" s="209"/>
      <c r="B197" s="209"/>
      <c r="C197" s="209"/>
      <c r="D197" s="209"/>
      <c r="E197" s="209"/>
      <c r="F197" s="209"/>
      <c r="G197" s="209"/>
      <c r="H197" s="209"/>
      <c r="I197" s="2"/>
      <c r="J197" s="2"/>
      <c r="K197" s="2"/>
    </row>
    <row r="198" spans="1:11" ht="15.9" x14ac:dyDescent="0.45">
      <c r="A198" s="209"/>
      <c r="B198" s="209"/>
      <c r="C198" s="209"/>
      <c r="D198" s="209"/>
      <c r="E198" s="209"/>
      <c r="F198" s="209"/>
      <c r="G198" s="209"/>
      <c r="H198" s="209"/>
      <c r="I198" s="2"/>
      <c r="J198" s="2"/>
      <c r="K198" s="2"/>
    </row>
    <row r="199" spans="1:11" ht="15.9" x14ac:dyDescent="0.45">
      <c r="A199" s="209"/>
      <c r="B199" s="209"/>
      <c r="C199" s="209"/>
      <c r="D199" s="209"/>
      <c r="E199" s="209"/>
      <c r="F199" s="209"/>
      <c r="G199" s="209"/>
      <c r="H199" s="209"/>
      <c r="I199" s="2"/>
      <c r="J199" s="2"/>
      <c r="K199" s="2"/>
    </row>
    <row r="200" spans="1:11" ht="15.9" x14ac:dyDescent="0.45">
      <c r="A200" s="209"/>
      <c r="B200" s="209"/>
      <c r="C200" s="209"/>
      <c r="D200" s="209"/>
      <c r="E200" s="209"/>
      <c r="F200" s="209"/>
      <c r="G200" s="209"/>
      <c r="H200" s="209"/>
      <c r="I200" s="2"/>
      <c r="J200" s="2"/>
      <c r="K200" s="2"/>
    </row>
    <row r="201" spans="1:11" ht="15.9" x14ac:dyDescent="0.45">
      <c r="A201" s="209"/>
      <c r="B201" s="209"/>
      <c r="C201" s="209"/>
      <c r="D201" s="209"/>
      <c r="E201" s="209"/>
      <c r="F201" s="209"/>
      <c r="G201" s="209"/>
      <c r="H201" s="209"/>
      <c r="I201" s="2"/>
      <c r="J201" s="2"/>
      <c r="K201" s="2"/>
    </row>
    <row r="202" spans="1:11" ht="15.9" x14ac:dyDescent="0.45">
      <c r="A202" s="209"/>
      <c r="B202" s="209"/>
      <c r="C202" s="209"/>
      <c r="D202" s="209"/>
      <c r="E202" s="209"/>
      <c r="F202" s="209"/>
      <c r="G202" s="209"/>
      <c r="H202" s="209"/>
      <c r="I202" s="2"/>
      <c r="J202" s="2"/>
      <c r="K202" s="2"/>
    </row>
    <row r="203" spans="1:11" ht="15.9" x14ac:dyDescent="0.45">
      <c r="A203" s="209"/>
      <c r="B203" s="209"/>
      <c r="C203" s="209"/>
      <c r="D203" s="209"/>
      <c r="E203" s="209"/>
      <c r="F203" s="209"/>
      <c r="G203" s="209"/>
      <c r="H203" s="209"/>
      <c r="I203" s="2"/>
      <c r="J203" s="2"/>
      <c r="K203" s="2"/>
    </row>
    <row r="204" spans="1:11" ht="15.9" x14ac:dyDescent="0.45">
      <c r="A204" s="209"/>
      <c r="B204" s="209"/>
      <c r="C204" s="209"/>
      <c r="D204" s="209"/>
      <c r="E204" s="209"/>
      <c r="F204" s="209"/>
      <c r="G204" s="209"/>
      <c r="H204" s="209"/>
      <c r="I204" s="2"/>
      <c r="J204" s="2"/>
      <c r="K204" s="2"/>
    </row>
    <row r="205" spans="1:11" ht="15.9" x14ac:dyDescent="0.45">
      <c r="A205" s="209"/>
      <c r="B205" s="209"/>
      <c r="C205" s="209"/>
      <c r="D205" s="209"/>
      <c r="E205" s="209"/>
      <c r="F205" s="209"/>
      <c r="G205" s="209"/>
      <c r="H205" s="209"/>
      <c r="I205" s="2"/>
      <c r="J205" s="2"/>
      <c r="K205" s="2"/>
    </row>
    <row r="206" spans="1:11" ht="15.9" x14ac:dyDescent="0.45">
      <c r="A206" s="209"/>
      <c r="B206" s="209"/>
      <c r="C206" s="209"/>
      <c r="D206" s="209"/>
      <c r="E206" s="209"/>
      <c r="F206" s="209"/>
      <c r="G206" s="209"/>
      <c r="H206" s="209"/>
      <c r="I206" s="2"/>
      <c r="J206" s="2"/>
      <c r="K206" s="2"/>
    </row>
    <row r="207" spans="1:11" ht="15.9" x14ac:dyDescent="0.45">
      <c r="A207" s="209"/>
      <c r="B207" s="209"/>
      <c r="C207" s="209"/>
      <c r="D207" s="209"/>
      <c r="E207" s="209"/>
      <c r="F207" s="209"/>
      <c r="G207" s="209"/>
      <c r="H207" s="209"/>
      <c r="I207" s="2"/>
      <c r="J207" s="2"/>
      <c r="K207" s="2"/>
    </row>
    <row r="208" spans="1:11" ht="15.9" x14ac:dyDescent="0.45">
      <c r="A208" s="209"/>
      <c r="B208" s="209"/>
      <c r="C208" s="209"/>
      <c r="D208" s="209"/>
      <c r="E208" s="209"/>
      <c r="F208" s="209"/>
      <c r="G208" s="209"/>
      <c r="H208" s="209"/>
      <c r="I208" s="2"/>
      <c r="J208" s="2"/>
      <c r="K208" s="2"/>
    </row>
    <row r="209" spans="1:11" ht="15.9" x14ac:dyDescent="0.45">
      <c r="A209" s="209"/>
      <c r="B209" s="209"/>
      <c r="C209" s="209"/>
      <c r="D209" s="209"/>
      <c r="E209" s="209"/>
      <c r="F209" s="209"/>
      <c r="G209" s="209"/>
      <c r="H209" s="209"/>
      <c r="I209" s="2"/>
      <c r="J209" s="2"/>
      <c r="K209" s="2"/>
    </row>
    <row r="210" spans="1:11" ht="15.9" x14ac:dyDescent="0.45">
      <c r="A210" s="209"/>
      <c r="B210" s="209"/>
      <c r="C210" s="209"/>
      <c r="D210" s="209"/>
      <c r="E210" s="209"/>
      <c r="F210" s="209"/>
      <c r="G210" s="209"/>
      <c r="H210" s="209"/>
      <c r="I210" s="2"/>
      <c r="J210" s="2"/>
      <c r="K210" s="2"/>
    </row>
    <row r="211" spans="1:11" ht="15.9" x14ac:dyDescent="0.45">
      <c r="A211" s="209"/>
      <c r="B211" s="209"/>
      <c r="C211" s="209"/>
      <c r="D211" s="209"/>
      <c r="E211" s="209"/>
      <c r="F211" s="209"/>
      <c r="G211" s="209"/>
      <c r="H211" s="209"/>
      <c r="I211" s="2"/>
      <c r="J211" s="2"/>
      <c r="K211" s="2"/>
    </row>
    <row r="212" spans="1:11" ht="15.9" x14ac:dyDescent="0.45">
      <c r="A212" s="209"/>
      <c r="B212" s="209"/>
      <c r="C212" s="209"/>
      <c r="D212" s="209"/>
      <c r="E212" s="209"/>
      <c r="F212" s="209"/>
      <c r="G212" s="209"/>
      <c r="H212" s="209"/>
      <c r="I212" s="2"/>
      <c r="J212" s="2"/>
      <c r="K212" s="2"/>
    </row>
    <row r="213" spans="1:11" ht="15.9" x14ac:dyDescent="0.45">
      <c r="A213" s="209"/>
      <c r="B213" s="209"/>
      <c r="C213" s="209"/>
      <c r="D213" s="209"/>
      <c r="E213" s="209"/>
      <c r="F213" s="209"/>
      <c r="G213" s="209"/>
      <c r="H213" s="209"/>
      <c r="I213" s="2"/>
      <c r="J213" s="2"/>
      <c r="K213" s="2"/>
    </row>
    <row r="214" spans="1:11" ht="15.9" x14ac:dyDescent="0.45">
      <c r="A214" s="209"/>
      <c r="B214" s="209"/>
      <c r="C214" s="209"/>
      <c r="D214" s="209"/>
      <c r="E214" s="209"/>
      <c r="F214" s="209"/>
      <c r="G214" s="209"/>
      <c r="H214" s="209"/>
      <c r="I214" s="2"/>
      <c r="J214" s="2"/>
      <c r="K214" s="2"/>
    </row>
    <row r="215" spans="1:11" ht="15.9" x14ac:dyDescent="0.45">
      <c r="A215" s="209"/>
      <c r="B215" s="209"/>
      <c r="C215" s="209"/>
      <c r="D215" s="209"/>
      <c r="E215" s="209"/>
      <c r="F215" s="209"/>
      <c r="G215" s="209"/>
      <c r="H215" s="209"/>
      <c r="I215" s="2"/>
      <c r="J215" s="2"/>
      <c r="K215" s="2"/>
    </row>
    <row r="216" spans="1:11" ht="15.9" x14ac:dyDescent="0.45">
      <c r="A216" s="209"/>
      <c r="B216" s="209"/>
      <c r="C216" s="209"/>
      <c r="D216" s="209"/>
      <c r="E216" s="209"/>
      <c r="F216" s="209"/>
      <c r="G216" s="209"/>
      <c r="H216" s="209"/>
      <c r="I216" s="2"/>
      <c r="J216" s="2"/>
      <c r="K216" s="2"/>
    </row>
    <row r="217" spans="1:11" ht="15.9" x14ac:dyDescent="0.45">
      <c r="A217" s="209"/>
      <c r="B217" s="209"/>
      <c r="C217" s="209"/>
      <c r="D217" s="209"/>
      <c r="E217" s="209"/>
      <c r="F217" s="209"/>
      <c r="G217" s="209"/>
      <c r="H217" s="209"/>
      <c r="I217" s="2"/>
      <c r="J217" s="2"/>
      <c r="K217" s="2"/>
    </row>
    <row r="218" spans="1:11" ht="15.9" x14ac:dyDescent="0.45">
      <c r="A218" s="209"/>
      <c r="B218" s="209"/>
      <c r="C218" s="209"/>
      <c r="D218" s="209"/>
      <c r="E218" s="209"/>
      <c r="F218" s="209"/>
      <c r="G218" s="209"/>
      <c r="H218" s="209"/>
      <c r="I218" s="2"/>
      <c r="J218" s="2"/>
      <c r="K218" s="2"/>
    </row>
    <row r="219" spans="1:11" ht="15.9" x14ac:dyDescent="0.45">
      <c r="A219" s="209"/>
      <c r="B219" s="209"/>
      <c r="C219" s="209"/>
      <c r="D219" s="209"/>
      <c r="E219" s="209"/>
      <c r="F219" s="209"/>
      <c r="G219" s="209"/>
      <c r="H219" s="209"/>
      <c r="I219" s="2"/>
      <c r="J219" s="2"/>
      <c r="K219" s="2"/>
    </row>
    <row r="220" spans="1:11" ht="15.9" x14ac:dyDescent="0.45">
      <c r="A220" s="209"/>
      <c r="B220" s="209"/>
      <c r="C220" s="209"/>
      <c r="D220" s="209"/>
      <c r="E220" s="209"/>
      <c r="F220" s="209"/>
      <c r="G220" s="209"/>
      <c r="H220" s="209"/>
      <c r="I220" s="2"/>
      <c r="J220" s="2"/>
      <c r="K220" s="2"/>
    </row>
    <row r="221" spans="1:11" ht="15.9" x14ac:dyDescent="0.45">
      <c r="A221" s="209"/>
      <c r="B221" s="209"/>
      <c r="C221" s="209"/>
      <c r="D221" s="209"/>
      <c r="E221" s="209"/>
      <c r="F221" s="209"/>
      <c r="G221" s="209"/>
      <c r="H221" s="209"/>
      <c r="I221" s="2"/>
      <c r="J221" s="2"/>
      <c r="K221" s="2"/>
    </row>
    <row r="222" spans="1:11" ht="15.9" x14ac:dyDescent="0.45">
      <c r="A222" s="209"/>
      <c r="B222" s="209"/>
      <c r="C222" s="209"/>
      <c r="D222" s="209"/>
      <c r="E222" s="209"/>
      <c r="F222" s="209"/>
      <c r="G222" s="209"/>
      <c r="H222" s="209"/>
      <c r="I222" s="2"/>
      <c r="J222" s="2"/>
      <c r="K222" s="2"/>
    </row>
    <row r="223" spans="1:11" ht="15.9" x14ac:dyDescent="0.45">
      <c r="A223" s="209"/>
      <c r="B223" s="209"/>
      <c r="C223" s="209"/>
      <c r="D223" s="209"/>
      <c r="E223" s="209"/>
      <c r="F223" s="209"/>
      <c r="G223" s="209"/>
      <c r="H223" s="209"/>
      <c r="I223" s="2"/>
      <c r="J223" s="2"/>
      <c r="K223" s="2"/>
    </row>
    <row r="224" spans="1:11" ht="15.9" x14ac:dyDescent="0.45">
      <c r="A224" s="209"/>
      <c r="B224" s="209"/>
      <c r="C224" s="209"/>
      <c r="D224" s="209"/>
      <c r="E224" s="209"/>
      <c r="F224" s="209"/>
      <c r="G224" s="209"/>
      <c r="H224" s="209"/>
      <c r="I224" s="2"/>
      <c r="J224" s="2"/>
      <c r="K224" s="2"/>
    </row>
    <row r="225" spans="1:11" ht="15.9" x14ac:dyDescent="0.45">
      <c r="A225" s="209"/>
      <c r="B225" s="209"/>
      <c r="C225" s="209"/>
      <c r="D225" s="209"/>
      <c r="E225" s="209"/>
      <c r="F225" s="209"/>
      <c r="G225" s="209"/>
      <c r="H225" s="209"/>
      <c r="I225" s="2"/>
      <c r="J225" s="2"/>
      <c r="K225" s="2"/>
    </row>
    <row r="226" spans="1:11" ht="15.9" x14ac:dyDescent="0.45">
      <c r="A226" s="209"/>
      <c r="B226" s="209"/>
      <c r="C226" s="209"/>
      <c r="D226" s="209"/>
      <c r="E226" s="209"/>
      <c r="F226" s="209"/>
      <c r="G226" s="209"/>
      <c r="H226" s="209"/>
      <c r="I226" s="2"/>
      <c r="J226" s="2"/>
      <c r="K226" s="2"/>
    </row>
    <row r="227" spans="1:11" ht="15.9" x14ac:dyDescent="0.45">
      <c r="A227" s="209"/>
      <c r="B227" s="209"/>
      <c r="C227" s="209"/>
      <c r="D227" s="209"/>
      <c r="E227" s="209"/>
      <c r="F227" s="209"/>
      <c r="G227" s="209"/>
      <c r="H227" s="209"/>
      <c r="I227" s="2"/>
      <c r="J227" s="2"/>
      <c r="K227" s="2"/>
    </row>
    <row r="228" spans="1:11" ht="15.9" x14ac:dyDescent="0.45">
      <c r="A228" s="209"/>
      <c r="B228" s="209"/>
      <c r="C228" s="209"/>
      <c r="D228" s="209"/>
      <c r="E228" s="209"/>
      <c r="F228" s="209"/>
      <c r="G228" s="209"/>
      <c r="H228" s="209"/>
      <c r="I228" s="2"/>
      <c r="J228" s="2"/>
      <c r="K228" s="2"/>
    </row>
    <row r="229" spans="1:11" ht="15.9" x14ac:dyDescent="0.45">
      <c r="A229" s="209"/>
      <c r="B229" s="209"/>
      <c r="C229" s="209"/>
      <c r="D229" s="209"/>
      <c r="E229" s="209"/>
      <c r="F229" s="209"/>
      <c r="G229" s="209"/>
      <c r="H229" s="209"/>
      <c r="I229" s="2"/>
      <c r="J229" s="2"/>
      <c r="K229" s="2"/>
    </row>
    <row r="230" spans="1:11" ht="15.9" x14ac:dyDescent="0.45">
      <c r="A230" s="209"/>
      <c r="B230" s="209"/>
      <c r="C230" s="209"/>
      <c r="D230" s="209"/>
      <c r="E230" s="209"/>
      <c r="F230" s="209"/>
      <c r="G230" s="209"/>
      <c r="H230" s="209"/>
      <c r="I230" s="2"/>
      <c r="J230" s="2"/>
      <c r="K230" s="2"/>
    </row>
    <row r="231" spans="1:11" ht="15.9" x14ac:dyDescent="0.45">
      <c r="A231" s="209"/>
      <c r="B231" s="209"/>
      <c r="C231" s="209"/>
      <c r="D231" s="209"/>
      <c r="E231" s="209"/>
      <c r="F231" s="209"/>
      <c r="G231" s="209"/>
      <c r="H231" s="209"/>
      <c r="I231" s="2"/>
      <c r="J231" s="2"/>
      <c r="K231" s="2"/>
    </row>
    <row r="232" spans="1:11" ht="15.9" x14ac:dyDescent="0.45">
      <c r="A232" s="209"/>
      <c r="B232" s="209"/>
      <c r="C232" s="209"/>
      <c r="D232" s="209"/>
      <c r="E232" s="209"/>
      <c r="F232" s="209"/>
      <c r="G232" s="209"/>
      <c r="H232" s="209"/>
      <c r="I232" s="2"/>
      <c r="J232" s="2"/>
      <c r="K232" s="2"/>
    </row>
    <row r="233" spans="1:11" ht="15.9" x14ac:dyDescent="0.45">
      <c r="A233" s="209"/>
      <c r="B233" s="209"/>
      <c r="C233" s="209"/>
      <c r="D233" s="209"/>
      <c r="E233" s="209"/>
      <c r="F233" s="209"/>
      <c r="G233" s="209"/>
      <c r="H233" s="209"/>
      <c r="I233" s="2"/>
      <c r="J233" s="2"/>
      <c r="K233" s="2"/>
    </row>
    <row r="234" spans="1:11" ht="15.9" x14ac:dyDescent="0.45">
      <c r="A234" s="209"/>
      <c r="B234" s="209"/>
      <c r="C234" s="209"/>
      <c r="D234" s="209"/>
      <c r="E234" s="209"/>
      <c r="F234" s="209"/>
      <c r="G234" s="209"/>
      <c r="H234" s="209"/>
      <c r="I234" s="2"/>
      <c r="J234" s="2"/>
      <c r="K234" s="2"/>
    </row>
    <row r="235" spans="1:11" ht="15.9" x14ac:dyDescent="0.45">
      <c r="A235" s="209"/>
      <c r="B235" s="209"/>
      <c r="C235" s="209"/>
      <c r="D235" s="209"/>
      <c r="E235" s="209"/>
      <c r="F235" s="209"/>
      <c r="G235" s="209"/>
      <c r="H235" s="209"/>
      <c r="I235" s="2"/>
      <c r="J235" s="2"/>
      <c r="K235" s="2"/>
    </row>
    <row r="236" spans="1:11" ht="15.9" x14ac:dyDescent="0.45">
      <c r="A236" s="209"/>
      <c r="B236" s="209"/>
      <c r="C236" s="209"/>
      <c r="D236" s="209"/>
      <c r="E236" s="209"/>
      <c r="F236" s="209"/>
      <c r="G236" s="209"/>
      <c r="H236" s="209"/>
      <c r="I236" s="2"/>
      <c r="J236" s="2"/>
      <c r="K236" s="2"/>
    </row>
    <row r="237" spans="1:11" ht="15.9" x14ac:dyDescent="0.45">
      <c r="A237" s="209"/>
      <c r="B237" s="209"/>
      <c r="C237" s="209"/>
      <c r="D237" s="209"/>
      <c r="E237" s="209"/>
      <c r="F237" s="209"/>
      <c r="G237" s="209"/>
      <c r="H237" s="209"/>
      <c r="I237" s="2"/>
      <c r="J237" s="2"/>
      <c r="K237" s="2"/>
    </row>
    <row r="238" spans="1:11" ht="15.9" x14ac:dyDescent="0.45">
      <c r="A238" s="209"/>
      <c r="B238" s="209"/>
      <c r="C238" s="209"/>
      <c r="D238" s="209"/>
      <c r="E238" s="209"/>
      <c r="F238" s="209"/>
      <c r="G238" s="209"/>
      <c r="H238" s="209"/>
      <c r="I238" s="2"/>
      <c r="J238" s="2"/>
      <c r="K238" s="2"/>
    </row>
    <row r="239" spans="1:11" ht="15.9" x14ac:dyDescent="0.45">
      <c r="A239" s="209"/>
      <c r="B239" s="209"/>
      <c r="C239" s="209"/>
      <c r="D239" s="209"/>
      <c r="E239" s="209"/>
      <c r="F239" s="209"/>
      <c r="G239" s="209"/>
      <c r="H239" s="209"/>
      <c r="I239" s="2"/>
      <c r="J239" s="2"/>
      <c r="K239" s="2"/>
    </row>
    <row r="240" spans="1:11" ht="15.9" x14ac:dyDescent="0.45">
      <c r="A240" s="209"/>
      <c r="B240" s="209"/>
      <c r="C240" s="209"/>
      <c r="D240" s="209"/>
      <c r="E240" s="209"/>
      <c r="F240" s="209"/>
      <c r="G240" s="209"/>
      <c r="H240" s="209"/>
      <c r="I240" s="2"/>
      <c r="J240" s="2"/>
      <c r="K240" s="2"/>
    </row>
    <row r="241" spans="1:11" ht="15.9" x14ac:dyDescent="0.45">
      <c r="A241" s="209"/>
      <c r="B241" s="209"/>
      <c r="C241" s="209"/>
      <c r="D241" s="209"/>
      <c r="E241" s="209"/>
      <c r="F241" s="209"/>
      <c r="G241" s="209"/>
      <c r="H241" s="209"/>
      <c r="I241" s="2"/>
      <c r="J241" s="2"/>
      <c r="K241" s="2"/>
    </row>
    <row r="242" spans="1:11" ht="15.9" x14ac:dyDescent="0.45">
      <c r="A242" s="209"/>
      <c r="B242" s="209"/>
      <c r="C242" s="209"/>
      <c r="D242" s="209"/>
      <c r="E242" s="209"/>
      <c r="F242" s="209"/>
      <c r="G242" s="209"/>
      <c r="H242" s="209"/>
      <c r="I242" s="2"/>
      <c r="J242" s="2"/>
      <c r="K242" s="2"/>
    </row>
    <row r="243" spans="1:11" ht="15.9" x14ac:dyDescent="0.45">
      <c r="A243" s="209"/>
      <c r="B243" s="209"/>
      <c r="C243" s="209"/>
      <c r="D243" s="209"/>
      <c r="E243" s="209"/>
      <c r="F243" s="209"/>
      <c r="G243" s="209"/>
      <c r="H243" s="209"/>
      <c r="I243" s="2"/>
      <c r="J243" s="2"/>
      <c r="K243" s="2"/>
    </row>
    <row r="244" spans="1:11" ht="15.9" x14ac:dyDescent="0.45">
      <c r="A244" s="209"/>
      <c r="B244" s="209"/>
      <c r="C244" s="209"/>
      <c r="D244" s="209"/>
      <c r="E244" s="209"/>
      <c r="F244" s="209"/>
      <c r="G244" s="209"/>
      <c r="H244" s="209"/>
      <c r="I244" s="2"/>
      <c r="J244" s="2"/>
      <c r="K244" s="2"/>
    </row>
    <row r="245" spans="1:11" ht="15.9" x14ac:dyDescent="0.45">
      <c r="A245" s="209"/>
      <c r="B245" s="209"/>
      <c r="C245" s="209"/>
      <c r="D245" s="209"/>
      <c r="E245" s="209"/>
      <c r="F245" s="209"/>
      <c r="G245" s="209"/>
      <c r="H245" s="209"/>
      <c r="I245" s="2"/>
      <c r="J245" s="2"/>
      <c r="K245" s="2"/>
    </row>
    <row r="246" spans="1:11" ht="15.9" x14ac:dyDescent="0.45">
      <c r="A246" s="209"/>
      <c r="B246" s="209"/>
      <c r="C246" s="209"/>
      <c r="D246" s="209"/>
      <c r="E246" s="209"/>
      <c r="F246" s="209"/>
      <c r="G246" s="209"/>
      <c r="H246" s="209"/>
      <c r="I246" s="2"/>
      <c r="J246" s="2"/>
      <c r="K246" s="2"/>
    </row>
    <row r="247" spans="1:11" ht="15.9" x14ac:dyDescent="0.45">
      <c r="A247" s="209"/>
      <c r="B247" s="209"/>
      <c r="C247" s="209"/>
      <c r="D247" s="209"/>
      <c r="E247" s="209"/>
      <c r="F247" s="209"/>
      <c r="G247" s="209"/>
      <c r="H247" s="209"/>
      <c r="I247" s="2"/>
      <c r="J247" s="2"/>
      <c r="K247" s="2"/>
    </row>
    <row r="248" spans="1:11" ht="15.9" x14ac:dyDescent="0.45">
      <c r="A248" s="209"/>
      <c r="B248" s="209"/>
      <c r="C248" s="209"/>
      <c r="D248" s="209"/>
      <c r="E248" s="209"/>
      <c r="F248" s="209"/>
      <c r="G248" s="209"/>
      <c r="H248" s="209"/>
      <c r="I248" s="2"/>
      <c r="J248" s="2"/>
      <c r="K248" s="2"/>
    </row>
    <row r="249" spans="1:11" ht="15.9" x14ac:dyDescent="0.45">
      <c r="A249" s="209"/>
      <c r="B249" s="209"/>
      <c r="C249" s="209"/>
      <c r="D249" s="209"/>
      <c r="E249" s="209"/>
      <c r="F249" s="209"/>
      <c r="G249" s="209"/>
      <c r="H249" s="209"/>
      <c r="I249" s="2"/>
      <c r="J249" s="2"/>
      <c r="K249" s="2"/>
    </row>
    <row r="250" spans="1:11" ht="15.9" x14ac:dyDescent="0.45">
      <c r="A250" s="209"/>
      <c r="B250" s="209"/>
      <c r="C250" s="209"/>
      <c r="D250" s="209"/>
      <c r="E250" s="209"/>
      <c r="F250" s="209"/>
      <c r="G250" s="209"/>
      <c r="H250" s="209"/>
      <c r="I250" s="2"/>
      <c r="J250" s="2"/>
      <c r="K250" s="2"/>
    </row>
    <row r="251" spans="1:11" ht="15.9" x14ac:dyDescent="0.45">
      <c r="A251" s="209"/>
      <c r="B251" s="209"/>
      <c r="C251" s="209"/>
      <c r="D251" s="209"/>
      <c r="E251" s="209"/>
      <c r="F251" s="209"/>
      <c r="G251" s="209"/>
      <c r="H251" s="209"/>
      <c r="I251" s="2"/>
      <c r="J251" s="2"/>
      <c r="K251" s="2"/>
    </row>
    <row r="252" spans="1:11" ht="15.9" x14ac:dyDescent="0.45">
      <c r="A252" s="209"/>
      <c r="B252" s="209"/>
      <c r="C252" s="209"/>
      <c r="D252" s="209"/>
      <c r="E252" s="209"/>
      <c r="F252" s="209"/>
      <c r="G252" s="209"/>
      <c r="H252" s="209"/>
      <c r="I252" s="2"/>
      <c r="J252" s="2"/>
      <c r="K252" s="2"/>
    </row>
    <row r="253" spans="1:11" ht="15.9" x14ac:dyDescent="0.45">
      <c r="A253" s="209"/>
      <c r="B253" s="209"/>
      <c r="C253" s="209"/>
      <c r="D253" s="209"/>
      <c r="E253" s="209"/>
      <c r="F253" s="209"/>
      <c r="G253" s="209"/>
      <c r="H253" s="209"/>
      <c r="I253" s="2"/>
      <c r="J253" s="2"/>
      <c r="K253" s="2"/>
    </row>
    <row r="254" spans="1:11" ht="15.9" x14ac:dyDescent="0.45">
      <c r="A254" s="209"/>
      <c r="B254" s="209"/>
      <c r="C254" s="209"/>
      <c r="D254" s="209"/>
      <c r="E254" s="209"/>
      <c r="F254" s="209"/>
      <c r="G254" s="209"/>
      <c r="H254" s="209"/>
      <c r="I254" s="2"/>
      <c r="J254" s="2"/>
      <c r="K254" s="2"/>
    </row>
    <row r="255" spans="1:11" ht="15.9" x14ac:dyDescent="0.45">
      <c r="A255" s="209"/>
      <c r="B255" s="209"/>
      <c r="C255" s="209"/>
      <c r="D255" s="209"/>
      <c r="E255" s="209"/>
      <c r="F255" s="209"/>
      <c r="G255" s="209"/>
      <c r="H255" s="209"/>
      <c r="I255" s="2"/>
      <c r="J255" s="2"/>
      <c r="K255" s="2"/>
    </row>
    <row r="256" spans="1:11" ht="15.9" x14ac:dyDescent="0.45">
      <c r="A256" s="209"/>
      <c r="B256" s="209"/>
      <c r="C256" s="209"/>
      <c r="D256" s="209"/>
      <c r="E256" s="209"/>
      <c r="F256" s="209"/>
      <c r="G256" s="209"/>
      <c r="H256" s="209"/>
      <c r="I256" s="2"/>
      <c r="J256" s="2"/>
      <c r="K256" s="2"/>
    </row>
    <row r="257" spans="1:11" ht="15.9" x14ac:dyDescent="0.45">
      <c r="A257" s="209"/>
      <c r="B257" s="209"/>
      <c r="C257" s="209"/>
      <c r="D257" s="209"/>
      <c r="E257" s="209"/>
      <c r="F257" s="209"/>
      <c r="G257" s="209"/>
      <c r="H257" s="209"/>
      <c r="I257" s="2"/>
      <c r="J257" s="2"/>
      <c r="K257" s="2"/>
    </row>
    <row r="258" spans="1:11" ht="15.9" x14ac:dyDescent="0.45">
      <c r="A258" s="209"/>
      <c r="B258" s="209"/>
      <c r="C258" s="209"/>
      <c r="D258" s="209"/>
      <c r="E258" s="209"/>
      <c r="F258" s="209"/>
      <c r="G258" s="209"/>
      <c r="H258" s="209"/>
      <c r="I258" s="2"/>
      <c r="J258" s="2"/>
      <c r="K258" s="2"/>
    </row>
    <row r="259" spans="1:11" ht="15.9" x14ac:dyDescent="0.45">
      <c r="A259" s="209"/>
      <c r="B259" s="209"/>
      <c r="C259" s="209"/>
      <c r="D259" s="209"/>
      <c r="E259" s="209"/>
      <c r="F259" s="209"/>
      <c r="G259" s="209"/>
      <c r="H259" s="209"/>
      <c r="I259" s="2"/>
      <c r="J259" s="2"/>
      <c r="K259" s="2"/>
    </row>
    <row r="260" spans="1:11" ht="15.9" x14ac:dyDescent="0.45">
      <c r="A260" s="209"/>
      <c r="B260" s="209"/>
      <c r="C260" s="209"/>
      <c r="D260" s="209"/>
      <c r="E260" s="209"/>
      <c r="F260" s="209"/>
      <c r="G260" s="209"/>
      <c r="H260" s="209"/>
      <c r="I260" s="2"/>
      <c r="J260" s="2"/>
      <c r="K260" s="2"/>
    </row>
    <row r="261" spans="1:11" ht="15.9" x14ac:dyDescent="0.45">
      <c r="A261" s="209"/>
      <c r="B261" s="209"/>
      <c r="C261" s="209"/>
      <c r="D261" s="209"/>
      <c r="E261" s="209"/>
      <c r="F261" s="209"/>
      <c r="G261" s="209"/>
      <c r="H261" s="209"/>
      <c r="I261" s="2"/>
      <c r="J261" s="2"/>
      <c r="K261" s="2"/>
    </row>
    <row r="262" spans="1:11" ht="15.9" x14ac:dyDescent="0.45">
      <c r="A262" s="209"/>
      <c r="B262" s="209"/>
      <c r="C262" s="209"/>
      <c r="D262" s="209"/>
      <c r="E262" s="209"/>
      <c r="F262" s="209"/>
      <c r="G262" s="209"/>
      <c r="H262" s="209"/>
      <c r="I262" s="2"/>
      <c r="J262" s="2"/>
      <c r="K262" s="2"/>
    </row>
    <row r="263" spans="1:11" ht="15.9" x14ac:dyDescent="0.45">
      <c r="A263" s="209"/>
      <c r="B263" s="209"/>
      <c r="C263" s="209"/>
      <c r="D263" s="209"/>
      <c r="E263" s="209"/>
      <c r="F263" s="209"/>
      <c r="G263" s="209"/>
      <c r="H263" s="209"/>
      <c r="I263" s="2"/>
      <c r="J263" s="2"/>
      <c r="K263" s="2"/>
    </row>
    <row r="264" spans="1:11" ht="15.9" x14ac:dyDescent="0.45">
      <c r="A264" s="209"/>
      <c r="B264" s="209"/>
      <c r="C264" s="209"/>
      <c r="D264" s="209"/>
      <c r="E264" s="209"/>
      <c r="F264" s="209"/>
      <c r="G264" s="209"/>
      <c r="H264" s="209"/>
      <c r="I264" s="2"/>
      <c r="J264" s="2"/>
      <c r="K264" s="2"/>
    </row>
    <row r="265" spans="1:11" ht="15.9" x14ac:dyDescent="0.45">
      <c r="A265" s="209"/>
      <c r="B265" s="209"/>
      <c r="C265" s="209"/>
      <c r="D265" s="209"/>
      <c r="E265" s="209"/>
      <c r="F265" s="209"/>
      <c r="G265" s="209"/>
      <c r="H265" s="209"/>
      <c r="I265" s="2"/>
      <c r="J265" s="2"/>
      <c r="K265" s="2"/>
    </row>
    <row r="266" spans="1:11" ht="15.9" x14ac:dyDescent="0.45">
      <c r="A266" s="209"/>
      <c r="B266" s="209"/>
      <c r="C266" s="209"/>
      <c r="D266" s="209"/>
      <c r="E266" s="209"/>
      <c r="F266" s="209"/>
      <c r="G266" s="209"/>
      <c r="H266" s="209"/>
      <c r="I266" s="2"/>
      <c r="J266" s="2"/>
      <c r="K266" s="2"/>
    </row>
    <row r="267" spans="1:11" ht="15.9" x14ac:dyDescent="0.45">
      <c r="A267" s="209"/>
      <c r="B267" s="209"/>
      <c r="C267" s="209"/>
      <c r="D267" s="209"/>
      <c r="E267" s="209"/>
      <c r="F267" s="209"/>
      <c r="G267" s="209"/>
      <c r="H267" s="209"/>
      <c r="I267" s="2"/>
      <c r="J267" s="2"/>
      <c r="K267" s="2"/>
    </row>
    <row r="268" spans="1:11" ht="15.9" x14ac:dyDescent="0.45">
      <c r="A268" s="209"/>
      <c r="B268" s="209"/>
      <c r="C268" s="209"/>
      <c r="D268" s="209"/>
      <c r="E268" s="209"/>
      <c r="F268" s="209"/>
      <c r="G268" s="209"/>
      <c r="H268" s="209"/>
      <c r="I268" s="2"/>
      <c r="J268" s="2"/>
      <c r="K268" s="2"/>
    </row>
    <row r="269" spans="1:11" ht="15.9" x14ac:dyDescent="0.45">
      <c r="A269" s="209"/>
      <c r="B269" s="209"/>
      <c r="C269" s="209"/>
      <c r="D269" s="209"/>
      <c r="E269" s="209"/>
      <c r="F269" s="209"/>
      <c r="G269" s="209"/>
      <c r="H269" s="209"/>
      <c r="I269" s="2"/>
      <c r="J269" s="2"/>
      <c r="K269" s="2"/>
    </row>
    <row r="270" spans="1:11" ht="15.9" x14ac:dyDescent="0.45">
      <c r="A270" s="209"/>
      <c r="B270" s="209"/>
      <c r="C270" s="209"/>
      <c r="D270" s="209"/>
      <c r="E270" s="209"/>
      <c r="F270" s="209"/>
      <c r="G270" s="209"/>
      <c r="H270" s="209"/>
      <c r="I270" s="2"/>
      <c r="J270" s="2"/>
      <c r="K270" s="2"/>
    </row>
    <row r="271" spans="1:11" ht="15.9" x14ac:dyDescent="0.45">
      <c r="A271" s="209"/>
      <c r="B271" s="209"/>
      <c r="C271" s="209"/>
      <c r="D271" s="209"/>
      <c r="E271" s="209"/>
      <c r="F271" s="209"/>
      <c r="G271" s="209"/>
      <c r="H271" s="209"/>
      <c r="I271" s="2"/>
      <c r="J271" s="2"/>
      <c r="K271" s="2"/>
    </row>
    <row r="272" spans="1:11" ht="15.9" x14ac:dyDescent="0.45">
      <c r="A272" s="209"/>
      <c r="B272" s="209"/>
      <c r="C272" s="209"/>
      <c r="D272" s="209"/>
      <c r="E272" s="209"/>
      <c r="F272" s="209"/>
      <c r="G272" s="209"/>
      <c r="H272" s="209"/>
      <c r="I272" s="2"/>
      <c r="J272" s="2"/>
      <c r="K272" s="2"/>
    </row>
    <row r="273" spans="1:11" ht="15.9" x14ac:dyDescent="0.45">
      <c r="A273" s="209"/>
      <c r="B273" s="209"/>
      <c r="C273" s="209"/>
      <c r="D273" s="209"/>
      <c r="E273" s="209"/>
      <c r="F273" s="209"/>
      <c r="G273" s="209"/>
      <c r="H273" s="209"/>
      <c r="I273" s="2"/>
      <c r="J273" s="2"/>
      <c r="K273" s="2"/>
    </row>
    <row r="274" spans="1:11" ht="15.9" x14ac:dyDescent="0.45">
      <c r="A274" s="209"/>
      <c r="B274" s="209"/>
      <c r="C274" s="209"/>
      <c r="D274" s="209"/>
      <c r="E274" s="209"/>
      <c r="F274" s="209"/>
      <c r="G274" s="209"/>
      <c r="H274" s="209"/>
      <c r="I274" s="2"/>
      <c r="J274" s="2"/>
      <c r="K274" s="2"/>
    </row>
    <row r="275" spans="1:11" ht="15.9" x14ac:dyDescent="0.45">
      <c r="A275" s="209"/>
      <c r="B275" s="209"/>
      <c r="C275" s="209"/>
      <c r="D275" s="209"/>
      <c r="E275" s="209"/>
      <c r="F275" s="209"/>
      <c r="G275" s="209"/>
      <c r="H275" s="209"/>
      <c r="I275" s="2"/>
      <c r="J275" s="2"/>
      <c r="K275" s="2"/>
    </row>
    <row r="276" spans="1:11" ht="15.9" x14ac:dyDescent="0.45">
      <c r="A276" s="209"/>
      <c r="B276" s="209"/>
      <c r="C276" s="209"/>
      <c r="D276" s="209"/>
      <c r="E276" s="209"/>
      <c r="F276" s="209"/>
      <c r="G276" s="209"/>
      <c r="H276" s="209"/>
      <c r="I276" s="2"/>
      <c r="J276" s="2"/>
      <c r="K276" s="2"/>
    </row>
    <row r="277" spans="1:11" ht="15.9" x14ac:dyDescent="0.45">
      <c r="A277" s="209"/>
      <c r="B277" s="209"/>
      <c r="C277" s="209"/>
      <c r="D277" s="209"/>
      <c r="E277" s="209"/>
      <c r="F277" s="209"/>
      <c r="G277" s="209"/>
      <c r="H277" s="209"/>
      <c r="I277" s="2"/>
      <c r="J277" s="2"/>
      <c r="K277" s="2"/>
    </row>
    <row r="278" spans="1:11" ht="15.9" x14ac:dyDescent="0.45">
      <c r="A278" s="209"/>
      <c r="B278" s="209"/>
      <c r="C278" s="209"/>
      <c r="D278" s="209"/>
      <c r="E278" s="209"/>
      <c r="F278" s="209"/>
      <c r="G278" s="209"/>
      <c r="H278" s="209"/>
      <c r="I278" s="2"/>
      <c r="J278" s="2"/>
      <c r="K278" s="2"/>
    </row>
    <row r="279" spans="1:11" ht="15.9" x14ac:dyDescent="0.45">
      <c r="A279" s="209"/>
      <c r="B279" s="209"/>
      <c r="C279" s="209"/>
      <c r="D279" s="209"/>
      <c r="E279" s="209"/>
      <c r="F279" s="209"/>
      <c r="G279" s="209"/>
      <c r="H279" s="209"/>
      <c r="I279" s="2"/>
      <c r="J279" s="2"/>
      <c r="K279" s="2"/>
    </row>
    <row r="280" spans="1:11" ht="15.9" x14ac:dyDescent="0.45">
      <c r="A280" s="209"/>
      <c r="B280" s="209"/>
      <c r="C280" s="209"/>
      <c r="D280" s="209"/>
      <c r="E280" s="209"/>
      <c r="F280" s="209"/>
      <c r="G280" s="209"/>
      <c r="H280" s="209"/>
      <c r="I280" s="2"/>
      <c r="J280" s="2"/>
      <c r="K280" s="2"/>
    </row>
    <row r="281" spans="1:11" ht="15.9" x14ac:dyDescent="0.45">
      <c r="A281" s="209"/>
      <c r="B281" s="209"/>
      <c r="C281" s="209"/>
      <c r="D281" s="209"/>
      <c r="E281" s="209"/>
      <c r="F281" s="209"/>
      <c r="G281" s="209"/>
      <c r="H281" s="209"/>
      <c r="I281" s="2"/>
      <c r="J281" s="2"/>
      <c r="K281" s="2"/>
    </row>
    <row r="282" spans="1:11" ht="15.9" x14ac:dyDescent="0.45">
      <c r="A282" s="209"/>
      <c r="B282" s="209"/>
      <c r="C282" s="209"/>
      <c r="D282" s="209"/>
      <c r="E282" s="209"/>
      <c r="F282" s="209"/>
      <c r="G282" s="209"/>
      <c r="H282" s="209"/>
      <c r="I282" s="2"/>
      <c r="J282" s="2"/>
      <c r="K282" s="2"/>
    </row>
    <row r="283" spans="1:11" ht="15.9" x14ac:dyDescent="0.45">
      <c r="A283" s="209"/>
      <c r="B283" s="209"/>
      <c r="C283" s="209"/>
      <c r="D283" s="209"/>
      <c r="E283" s="209"/>
      <c r="F283" s="209"/>
      <c r="G283" s="209"/>
      <c r="H283" s="209"/>
      <c r="I283" s="2"/>
      <c r="J283" s="2"/>
      <c r="K283" s="2"/>
    </row>
    <row r="284" spans="1:11" ht="15.9" x14ac:dyDescent="0.45">
      <c r="A284" s="209"/>
      <c r="B284" s="209"/>
      <c r="C284" s="209"/>
      <c r="D284" s="209"/>
      <c r="E284" s="209"/>
      <c r="F284" s="209"/>
      <c r="G284" s="209"/>
      <c r="H284" s="209"/>
      <c r="I284" s="2"/>
      <c r="J284" s="2"/>
      <c r="K284" s="2"/>
    </row>
    <row r="285" spans="1:11" ht="15.9" x14ac:dyDescent="0.45">
      <c r="A285" s="209"/>
      <c r="B285" s="209"/>
      <c r="C285" s="209"/>
      <c r="D285" s="209"/>
      <c r="E285" s="209"/>
      <c r="F285" s="209"/>
      <c r="G285" s="209"/>
      <c r="H285" s="209"/>
      <c r="I285" s="2"/>
      <c r="J285" s="2"/>
      <c r="K285" s="2"/>
    </row>
    <row r="286" spans="1:11" ht="15.9" x14ac:dyDescent="0.45">
      <c r="A286" s="209"/>
      <c r="B286" s="209"/>
      <c r="C286" s="209"/>
      <c r="D286" s="209"/>
      <c r="E286" s="209"/>
      <c r="F286" s="209"/>
      <c r="G286" s="209"/>
      <c r="H286" s="209"/>
      <c r="I286" s="2"/>
      <c r="J286" s="2"/>
      <c r="K286" s="2"/>
    </row>
    <row r="287" spans="1:11" ht="15.9" x14ac:dyDescent="0.45">
      <c r="A287" s="209"/>
      <c r="B287" s="209"/>
      <c r="C287" s="209"/>
      <c r="D287" s="209"/>
      <c r="E287" s="209"/>
      <c r="F287" s="209"/>
      <c r="G287" s="209"/>
      <c r="H287" s="209"/>
      <c r="I287" s="2"/>
      <c r="J287" s="2"/>
      <c r="K287" s="2"/>
    </row>
    <row r="288" spans="1:11" ht="15.9" x14ac:dyDescent="0.45">
      <c r="A288" s="209"/>
      <c r="B288" s="209"/>
      <c r="C288" s="209"/>
      <c r="D288" s="209"/>
      <c r="E288" s="209"/>
      <c r="F288" s="209"/>
      <c r="G288" s="209"/>
      <c r="H288" s="209"/>
      <c r="I288" s="2"/>
      <c r="J288" s="2"/>
      <c r="K288" s="2"/>
    </row>
    <row r="289" spans="1:11" ht="15.9" x14ac:dyDescent="0.45">
      <c r="A289" s="209"/>
      <c r="B289" s="209"/>
      <c r="C289" s="209"/>
      <c r="D289" s="209"/>
      <c r="E289" s="209"/>
      <c r="F289" s="209"/>
      <c r="G289" s="209"/>
      <c r="H289" s="209"/>
      <c r="I289" s="2"/>
      <c r="J289" s="2"/>
      <c r="K289" s="2"/>
    </row>
    <row r="290" spans="1:11" ht="15.9" x14ac:dyDescent="0.45">
      <c r="A290" s="209"/>
      <c r="B290" s="209"/>
      <c r="C290" s="209"/>
      <c r="D290" s="209"/>
      <c r="E290" s="209"/>
      <c r="F290" s="209"/>
      <c r="G290" s="209"/>
      <c r="H290" s="209"/>
      <c r="I290" s="2"/>
      <c r="J290" s="2"/>
      <c r="K290" s="2"/>
    </row>
    <row r="291" spans="1:11" ht="15.9" x14ac:dyDescent="0.45">
      <c r="A291" s="209"/>
      <c r="B291" s="209"/>
      <c r="C291" s="209"/>
      <c r="D291" s="209"/>
      <c r="E291" s="209"/>
      <c r="F291" s="209"/>
      <c r="G291" s="209"/>
      <c r="H291" s="209"/>
      <c r="I291" s="2"/>
      <c r="J291" s="2"/>
      <c r="K291" s="2"/>
    </row>
    <row r="292" spans="1:11" ht="15.9" x14ac:dyDescent="0.45">
      <c r="A292" s="209"/>
      <c r="B292" s="209"/>
      <c r="C292" s="209"/>
      <c r="D292" s="209"/>
      <c r="E292" s="209"/>
      <c r="F292" s="209"/>
      <c r="G292" s="209"/>
      <c r="H292" s="209"/>
      <c r="I292" s="2"/>
      <c r="J292" s="2"/>
      <c r="K292" s="2"/>
    </row>
    <row r="293" spans="1:11" ht="15.9" x14ac:dyDescent="0.45">
      <c r="A293" s="209"/>
      <c r="B293" s="209"/>
      <c r="C293" s="209"/>
      <c r="D293" s="209"/>
      <c r="E293" s="209"/>
      <c r="F293" s="209"/>
      <c r="G293" s="209"/>
      <c r="H293" s="209"/>
      <c r="I293" s="2"/>
      <c r="J293" s="2"/>
      <c r="K293" s="2"/>
    </row>
    <row r="294" spans="1:11" ht="15.9" x14ac:dyDescent="0.45">
      <c r="A294" s="209"/>
      <c r="B294" s="209"/>
      <c r="C294" s="209"/>
      <c r="D294" s="209"/>
      <c r="E294" s="209"/>
      <c r="F294" s="209"/>
      <c r="G294" s="209"/>
      <c r="H294" s="209"/>
      <c r="I294" s="2"/>
      <c r="J294" s="2"/>
      <c r="K294" s="2"/>
    </row>
    <row r="295" spans="1:11" ht="15.9" x14ac:dyDescent="0.45">
      <c r="A295" s="209"/>
      <c r="B295" s="209"/>
      <c r="C295" s="209"/>
      <c r="D295" s="209"/>
      <c r="E295" s="209"/>
      <c r="F295" s="209"/>
      <c r="G295" s="209"/>
      <c r="H295" s="209"/>
      <c r="I295" s="2"/>
      <c r="J295" s="2"/>
      <c r="K295" s="2"/>
    </row>
    <row r="296" spans="1:11" ht="15.9" x14ac:dyDescent="0.45">
      <c r="A296" s="209"/>
      <c r="B296" s="209"/>
      <c r="C296" s="209"/>
      <c r="D296" s="209"/>
      <c r="E296" s="209"/>
      <c r="F296" s="209"/>
      <c r="G296" s="209"/>
      <c r="H296" s="209"/>
      <c r="I296" s="2"/>
      <c r="J296" s="2"/>
      <c r="K296" s="2"/>
    </row>
    <row r="297" spans="1:11" ht="15.9" x14ac:dyDescent="0.45">
      <c r="A297" s="209"/>
      <c r="B297" s="209"/>
      <c r="C297" s="209"/>
      <c r="D297" s="209"/>
      <c r="E297" s="209"/>
      <c r="F297" s="209"/>
      <c r="G297" s="209"/>
      <c r="H297" s="209"/>
      <c r="I297" s="2"/>
      <c r="J297" s="2"/>
      <c r="K297" s="2"/>
    </row>
    <row r="298" spans="1:11" ht="15.9" x14ac:dyDescent="0.45">
      <c r="A298" s="209"/>
      <c r="B298" s="209"/>
      <c r="C298" s="209"/>
      <c r="D298" s="209"/>
      <c r="E298" s="209"/>
      <c r="F298" s="209"/>
      <c r="G298" s="209"/>
      <c r="H298" s="209"/>
      <c r="I298" s="2"/>
      <c r="J298" s="2"/>
      <c r="K298" s="2"/>
    </row>
    <row r="299" spans="1:11" ht="15.9" x14ac:dyDescent="0.45">
      <c r="A299" s="209"/>
      <c r="B299" s="209"/>
      <c r="C299" s="209"/>
      <c r="D299" s="209"/>
      <c r="E299" s="209"/>
      <c r="F299" s="209"/>
      <c r="G299" s="209"/>
      <c r="H299" s="209"/>
      <c r="I299" s="2"/>
      <c r="J299" s="2"/>
      <c r="K299" s="2"/>
    </row>
    <row r="300" spans="1:11" ht="15.9" x14ac:dyDescent="0.45">
      <c r="A300" s="209"/>
      <c r="B300" s="209"/>
      <c r="C300" s="209"/>
      <c r="D300" s="209"/>
      <c r="E300" s="209"/>
      <c r="F300" s="209"/>
      <c r="G300" s="209"/>
      <c r="H300" s="209"/>
      <c r="I300" s="2"/>
      <c r="J300" s="2"/>
      <c r="K300" s="2"/>
    </row>
    <row r="301" spans="1:11" ht="15.9" x14ac:dyDescent="0.45">
      <c r="A301" s="209"/>
      <c r="B301" s="209"/>
      <c r="C301" s="209"/>
      <c r="D301" s="209"/>
      <c r="E301" s="209"/>
      <c r="F301" s="209"/>
      <c r="G301" s="209"/>
      <c r="H301" s="209"/>
      <c r="I301" s="2"/>
      <c r="J301" s="2"/>
      <c r="K301" s="2"/>
    </row>
    <row r="302" spans="1:11" ht="15.9" x14ac:dyDescent="0.45">
      <c r="A302" s="209"/>
      <c r="B302" s="209"/>
      <c r="C302" s="209"/>
      <c r="D302" s="209"/>
      <c r="E302" s="209"/>
      <c r="F302" s="209"/>
      <c r="G302" s="209"/>
      <c r="H302" s="209"/>
      <c r="I302" s="2"/>
    </row>
    <row r="303" spans="1:11" ht="15.9" x14ac:dyDescent="0.45">
      <c r="A303" s="209"/>
      <c r="B303" s="209"/>
      <c r="C303" s="209"/>
      <c r="D303" s="209"/>
      <c r="E303" s="209"/>
      <c r="F303" s="209"/>
      <c r="G303" s="209"/>
      <c r="H303" s="209"/>
      <c r="I303" s="2"/>
    </row>
    <row r="304" spans="1:11" ht="15.9" x14ac:dyDescent="0.45">
      <c r="A304" s="209"/>
      <c r="B304" s="209"/>
      <c r="C304" s="209"/>
      <c r="D304" s="209"/>
      <c r="E304" s="209"/>
      <c r="F304" s="209"/>
      <c r="G304" s="209"/>
      <c r="H304" s="209"/>
      <c r="I304" s="2"/>
    </row>
    <row r="305" spans="1:9" ht="15.9" x14ac:dyDescent="0.45">
      <c r="A305" s="209"/>
      <c r="B305" s="209"/>
      <c r="C305" s="209"/>
      <c r="D305" s="209"/>
      <c r="E305" s="209"/>
      <c r="F305" s="209"/>
      <c r="G305" s="209"/>
      <c r="H305" s="209"/>
      <c r="I305" s="2"/>
    </row>
    <row r="306" spans="1:9" ht="15.9" x14ac:dyDescent="0.45">
      <c r="A306" s="209"/>
      <c r="B306" s="209"/>
      <c r="C306" s="209"/>
      <c r="D306" s="209"/>
      <c r="E306" s="209"/>
      <c r="F306" s="209"/>
      <c r="G306" s="209"/>
      <c r="H306" s="209"/>
      <c r="I306" s="2"/>
    </row>
    <row r="307" spans="1:9" ht="15.9" x14ac:dyDescent="0.45">
      <c r="A307" s="209"/>
      <c r="B307" s="209"/>
      <c r="C307" s="209"/>
      <c r="D307" s="209"/>
      <c r="E307" s="209"/>
      <c r="F307" s="209"/>
      <c r="G307" s="209"/>
      <c r="H307" s="209"/>
      <c r="I307" s="2"/>
    </row>
    <row r="308" spans="1:9" ht="15.9" x14ac:dyDescent="0.45">
      <c r="A308" s="209"/>
      <c r="B308" s="209"/>
      <c r="C308" s="209"/>
      <c r="D308" s="209"/>
      <c r="E308" s="209"/>
      <c r="F308" s="209"/>
      <c r="G308" s="209"/>
      <c r="H308" s="209"/>
      <c r="I308" s="2"/>
    </row>
    <row r="309" spans="1:9" ht="15.9" x14ac:dyDescent="0.45">
      <c r="A309" s="209"/>
      <c r="B309" s="209"/>
      <c r="C309" s="209"/>
      <c r="D309" s="209"/>
      <c r="E309" s="209"/>
      <c r="F309" s="209"/>
      <c r="G309" s="209"/>
      <c r="H309" s="209"/>
      <c r="I309" s="2"/>
    </row>
    <row r="310" spans="1:9" ht="14.15" x14ac:dyDescent="0.35">
      <c r="I310" s="2"/>
    </row>
    <row r="311" spans="1:9" ht="14.15" x14ac:dyDescent="0.35">
      <c r="I311" s="2"/>
    </row>
  </sheetData>
  <sheetProtection algorithmName="SHA-512" hashValue="mGKAI/AlIAfq07XuK1jHf6mCVQDcfDY74K+E5eYLDEHG1oEvmd29TwYL3EXL7GOC32efFmb7HbkAtQW5P8x+5Q==" saltValue="1Ch+Nm4FBIVKeHw7VgmYUA==" spinCount="100000" sheet="1" objects="1" scenarios="1"/>
  <phoneticPr fontId="2" type="noConversion"/>
  <conditionalFormatting sqref="H138">
    <cfRule type="cellIs" dxfId="2" priority="1" stopIfTrue="1" operator="equal">
      <formula>$I$131</formula>
    </cfRule>
    <cfRule type="cellIs" dxfId="1" priority="2" stopIfTrue="1" operator="equal">
      <formula>$I$132</formula>
    </cfRule>
    <cfRule type="cellIs" dxfId="0" priority="3" stopIfTrue="1" operator="equal">
      <formula>$I$133</formula>
    </cfRule>
  </conditionalFormatting>
  <hyperlinks>
    <hyperlink ref="D161" r:id="rId1" display="mailto:ag.info.omafra@ontario.ca" xr:uid="{00000000-0004-0000-0000-000000000000}"/>
  </hyperlinks>
  <pageMargins left="0.75" right="0.75" top="1" bottom="1" header="0.5" footer="0.5"/>
  <pageSetup scale="71" orientation="portrait" blackAndWhite="1" r:id="rId2"/>
  <headerFooter alignWithMargins="0">
    <oddHeader xml:space="preserve">&amp;L                                                                        </oddHeader>
    <oddFooter>&amp;CPage -&amp;P-&amp;R</oddFooter>
  </headerFooter>
  <rowBreaks count="2" manualBreakCount="2">
    <brk id="75" max="27" man="1"/>
    <brk id="116" max="2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93534DFD-1116-4AAE-998A-9CF85C517DDD}"/>
</file>

<file path=customXml/itemProps2.xml><?xml version="1.0" encoding="utf-8"?>
<ds:datastoreItem xmlns:ds="http://schemas.openxmlformats.org/officeDocument/2006/customXml" ds:itemID="{5403FBDD-61C6-47D3-AD26-BF1C1569194F}"/>
</file>

<file path=customXml/itemProps3.xml><?xml version="1.0" encoding="utf-8"?>
<ds:datastoreItem xmlns:ds="http://schemas.openxmlformats.org/officeDocument/2006/customXml" ds:itemID="{30182279-6F48-4617-B14F-545C6A7775F9}"/>
</file>

<file path=customXml/itemProps4.xml><?xml version="1.0" encoding="utf-8"?>
<ds:datastoreItem xmlns:ds="http://schemas.openxmlformats.org/officeDocument/2006/customXml" ds:itemID="{F0AE44D3-80D6-4FD9-911C-0BF4F2997CD9}"/>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MKTHOG</vt:lpstr>
      <vt:lpstr>MKTHOG!Print_Area</vt:lpstr>
    </vt:vector>
  </TitlesOfParts>
  <Manager>John Anderson</Manager>
  <Company>Ontario Ministry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Pig Enterprise Budget</dc:title>
  <dc:subject>BEAR2000 Budget File</dc:subject>
  <dc:creator>Molenhuis, John (OMAFA)</dc:creator>
  <cp:lastModifiedBy>Molenhuis, John (OMAFA)</cp:lastModifiedBy>
  <cp:lastPrinted>2006-03-30T21:23:27Z</cp:lastPrinted>
  <dcterms:created xsi:type="dcterms:W3CDTF">1998-09-13T17:28:38Z</dcterms:created>
  <dcterms:modified xsi:type="dcterms:W3CDTF">2024-08-15T18:35:59Z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2020-06-04T19:22:47.9188874Z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d0a9fcc5-b9fb-456d-90a4-54d74b077621</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