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66925"/>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Livestock/Swine/2023/"/>
    </mc:Choice>
  </mc:AlternateContent>
  <xr:revisionPtr revIDLastSave="28" documentId="13_ncr:1_{9E4F9088-7BA5-4087-A02B-70F7C5AE22CC}" xr6:coauthVersionLast="47" xr6:coauthVersionMax="47" xr10:uidLastSave="{ACFA0A13-D8EA-45C1-B5E9-130915D0A731}"/>
  <bookViews>
    <workbookView xWindow="-103" yWindow="-103" windowWidth="22149" windowHeight="11949" xr2:uid="{00000000-000D-0000-FFFF-FFFF00000000}"/>
  </bookViews>
  <sheets>
    <sheet name="FARROW" sheetId="1" r:id="rId1"/>
  </sheets>
  <definedNames>
    <definedName name="_Key1" hidden="1">FARROW!$HW$39:$HW$42</definedName>
    <definedName name="_Order1" hidden="1">255</definedName>
    <definedName name="_Parse_In" hidden="1">FARROW!$H$102:$H$104</definedName>
    <definedName name="_Parse_Out" hidden="1">FARROW!$H$106</definedName>
    <definedName name="_Regression_Int" localSheetId="0" hidden="1">1</definedName>
    <definedName name="_Sort" hidden="1">FARROW!$HV$39:$IB$42</definedName>
    <definedName name="_Table2_In1" hidden="1">FARROW!$BA$49</definedName>
    <definedName name="_Table2_In2" hidden="1">FARROW!$BA$50</definedName>
    <definedName name="_Table2_Out" hidden="1">FARROW!$BB$15:$BJ$47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0" i="1" l="1"/>
  <c r="G108" i="1"/>
  <c r="G107" i="1"/>
  <c r="D106" i="1"/>
  <c r="G99" i="1"/>
  <c r="G97" i="1"/>
  <c r="D94" i="1"/>
  <c r="E98" i="1"/>
  <c r="D98" i="1"/>
  <c r="G54" i="1"/>
  <c r="G55" i="1"/>
  <c r="E38" i="1"/>
  <c r="E39" i="1"/>
  <c r="G50" i="1"/>
  <c r="C135" i="1" s="1"/>
  <c r="E135" i="1"/>
  <c r="G80" i="1"/>
  <c r="D80" i="1"/>
  <c r="D50" i="1"/>
  <c r="A45" i="1"/>
  <c r="I19" i="1"/>
  <c r="H12" i="1"/>
  <c r="D7" i="1"/>
  <c r="H7" i="1" s="1"/>
  <c r="I147" i="1"/>
  <c r="I148" i="1"/>
  <c r="D26" i="1"/>
  <c r="F3" i="1" s="1"/>
  <c r="D58" i="1"/>
  <c r="E40" i="1"/>
  <c r="H40" i="1"/>
  <c r="K147" i="1"/>
  <c r="O147" i="1" s="1"/>
  <c r="L147" i="1"/>
  <c r="K144" i="1"/>
  <c r="L144" i="1"/>
  <c r="N144" i="1" s="1"/>
  <c r="M147" i="1"/>
  <c r="H20" i="1"/>
  <c r="E101" i="1"/>
  <c r="G81" i="1"/>
  <c r="G82" i="1"/>
  <c r="G83" i="1"/>
  <c r="G90" i="1"/>
  <c r="G106" i="1"/>
  <c r="G74" i="1"/>
  <c r="G94" i="1"/>
  <c r="E64" i="1"/>
  <c r="G46" i="1"/>
  <c r="H18" i="1" l="1"/>
  <c r="H19" i="1"/>
  <c r="L148" i="1"/>
  <c r="H9" i="1"/>
  <c r="H13" i="1"/>
  <c r="H14" i="1" s="1"/>
  <c r="M148" i="1"/>
  <c r="E114" i="1"/>
  <c r="N147" i="1"/>
  <c r="K148" i="1"/>
  <c r="H10" i="1"/>
  <c r="E130" i="1"/>
  <c r="G37" i="1"/>
  <c r="H8" i="1"/>
  <c r="H39" i="1"/>
  <c r="O144" i="1"/>
  <c r="H21" i="1"/>
  <c r="H15" i="1"/>
  <c r="F32" i="1"/>
  <c r="G52" i="1"/>
  <c r="H54" i="1" s="1"/>
  <c r="K23" i="1" l="1"/>
  <c r="D38" i="1"/>
  <c r="O148" i="1"/>
  <c r="N148" i="1"/>
  <c r="H88" i="1"/>
  <c r="H81" i="1"/>
  <c r="H90" i="1"/>
  <c r="H80" i="1"/>
  <c r="H50" i="1"/>
  <c r="G40" i="1"/>
  <c r="H82" i="1"/>
  <c r="G41" i="1"/>
  <c r="H110" i="1"/>
  <c r="H108" i="1"/>
  <c r="H55" i="1"/>
  <c r="H106" i="1"/>
  <c r="H74" i="1"/>
  <c r="H107" i="1"/>
  <c r="H99" i="1"/>
  <c r="H97" i="1"/>
  <c r="H94" i="1"/>
  <c r="G39" i="1"/>
  <c r="M144" i="1"/>
  <c r="D64" i="1"/>
  <c r="I144" i="1"/>
  <c r="G45" i="1"/>
  <c r="G88" i="1" s="1"/>
  <c r="D43" i="1"/>
  <c r="H38" i="1"/>
  <c r="H83" i="1"/>
  <c r="H43" i="1" l="1"/>
  <c r="G38" i="1"/>
  <c r="G43" i="1" s="1"/>
  <c r="K26" i="1"/>
  <c r="E106" i="1"/>
  <c r="G96" i="1"/>
  <c r="H96" i="1" s="1"/>
  <c r="E94" i="1"/>
  <c r="G57" i="1"/>
  <c r="H57" i="1" s="1"/>
  <c r="G68" i="1"/>
  <c r="H68" i="1" s="1"/>
  <c r="G75" i="1"/>
  <c r="H75" i="1" s="1"/>
  <c r="G85" i="1"/>
  <c r="H85" i="1" s="1"/>
  <c r="G58" i="1"/>
  <c r="H58" i="1" s="1"/>
  <c r="G60" i="1"/>
  <c r="H60" i="1" s="1"/>
  <c r="G76" i="1"/>
  <c r="H76" i="1" s="1"/>
  <c r="G86" i="1"/>
  <c r="H86" i="1" s="1"/>
  <c r="E80" i="1"/>
  <c r="E50" i="1"/>
  <c r="G59" i="1"/>
  <c r="H59" i="1" s="1"/>
  <c r="G61" i="1"/>
  <c r="H61" i="1" s="1"/>
  <c r="G77" i="1"/>
  <c r="H77" i="1" s="1"/>
  <c r="G84" i="1"/>
  <c r="H84" i="1" s="1"/>
  <c r="K27" i="1" s="1"/>
  <c r="G87" i="1"/>
  <c r="H87" i="1" s="1"/>
  <c r="G89" i="1"/>
  <c r="H89" i="1" s="1"/>
  <c r="K29" i="1" s="1"/>
  <c r="G109" i="1"/>
  <c r="G95" i="1"/>
  <c r="H95" i="1" s="1"/>
  <c r="G53" i="1"/>
  <c r="H53" i="1" s="1"/>
  <c r="G56" i="1"/>
  <c r="H56" i="1" s="1"/>
  <c r="G67" i="1"/>
  <c r="G69" i="1"/>
  <c r="H69" i="1" s="1"/>
  <c r="G98" i="1"/>
  <c r="H98" i="1" s="1"/>
  <c r="K25" i="1" l="1"/>
  <c r="I149" i="1"/>
  <c r="I150" i="1" s="1"/>
  <c r="K24" i="1"/>
  <c r="H67" i="1"/>
  <c r="H71" i="1" s="1"/>
  <c r="G112" i="1"/>
  <c r="H109" i="1"/>
  <c r="H112" i="1" s="1"/>
  <c r="K28" i="1"/>
  <c r="K18" i="1"/>
  <c r="F115" i="1"/>
  <c r="G71" i="1" l="1"/>
  <c r="M149" i="1"/>
  <c r="M150" i="1" s="1"/>
  <c r="K149" i="1"/>
  <c r="L149" i="1"/>
  <c r="L150" i="1" s="1"/>
  <c r="J115" i="1"/>
  <c r="H101" i="1" s="1"/>
  <c r="G101" i="1" s="1"/>
  <c r="F119" i="1"/>
  <c r="E119" i="1" s="1"/>
  <c r="K17" i="1"/>
  <c r="E115" i="1"/>
  <c r="K19" i="1"/>
  <c r="I151" i="1"/>
  <c r="G132" i="1"/>
  <c r="H132" i="1" s="1"/>
  <c r="O149" i="1" l="1"/>
  <c r="N149" i="1"/>
  <c r="K150" i="1"/>
  <c r="K151" i="1" s="1"/>
  <c r="H103" i="1"/>
  <c r="G103" i="1"/>
  <c r="F116" i="1" l="1"/>
  <c r="I139" i="1"/>
  <c r="E127" i="1" s="1"/>
  <c r="K16" i="1"/>
  <c r="E125" i="1" l="1"/>
  <c r="E124" i="1"/>
  <c r="E116" i="1"/>
  <c r="E118" i="1" s="1"/>
  <c r="E121" i="1" s="1"/>
  <c r="F118" i="1"/>
  <c r="F121" i="1" s="1"/>
  <c r="J153" i="1" l="1"/>
  <c r="I153" i="1"/>
  <c r="C141" i="1"/>
  <c r="C137" i="1"/>
  <c r="C138" i="1"/>
  <c r="C140" i="1"/>
  <c r="C139" i="1"/>
  <c r="H3" i="1"/>
  <c r="I155" i="1" l="1"/>
  <c r="I154" i="1"/>
  <c r="J155" i="1"/>
  <c r="J154" i="1"/>
  <c r="I156" i="1" l="1"/>
  <c r="G129" i="1" s="1"/>
  <c r="J156" i="1"/>
  <c r="G1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E28" authorId="0" shapeId="0" xr:uid="{00000000-0006-0000-0000-000001000000}">
      <text>
        <r>
          <rPr>
            <b/>
            <sz val="8"/>
            <color indexed="81"/>
            <rFont val="Tahoma"/>
            <family val="2"/>
          </rPr>
          <t xml:space="preserve">L'estimation optimiste est ce à quoi on  peut raisonnablement s'attendre au moins 1 année sur 6. </t>
        </r>
        <r>
          <rPr>
            <sz val="8"/>
            <color indexed="81"/>
            <rFont val="Tahoma"/>
            <family val="2"/>
          </rPr>
          <t xml:space="preserve">
</t>
        </r>
      </text>
    </comment>
    <comment ref="F28" authorId="0" shapeId="0" xr:uid="{00000000-0006-0000-0000-000002000000}">
      <text>
        <r>
          <rPr>
            <b/>
            <sz val="8"/>
            <color indexed="81"/>
            <rFont val="Tahoma"/>
            <family val="2"/>
          </rPr>
          <t>Le résultat anticipé est le résultat le plus probable pour l'année en cours.</t>
        </r>
        <r>
          <rPr>
            <sz val="8"/>
            <color indexed="81"/>
            <rFont val="Tahoma"/>
            <family val="2"/>
          </rPr>
          <t xml:space="preserve">
</t>
        </r>
      </text>
    </comment>
    <comment ref="G28" authorId="0" shapeId="0" xr:uid="{00000000-0006-0000-0000-000003000000}">
      <text>
        <r>
          <rPr>
            <b/>
            <sz val="8"/>
            <color indexed="81"/>
            <rFont val="Tahoma"/>
            <family val="2"/>
          </rPr>
          <t xml:space="preserve">L'estimation pessimiste doit correspondre au plus faible résultat auquel on peut raisonnablement s'attendre 1 année sur 6.  </t>
        </r>
        <r>
          <rPr>
            <sz val="8"/>
            <color indexed="81"/>
            <rFont val="Tahoma"/>
            <family val="2"/>
          </rPr>
          <t xml:space="preserve">
</t>
        </r>
      </text>
    </comment>
    <comment ref="D51" authorId="0" shapeId="0" xr:uid="{00000000-0006-0000-0000-000004000000}">
      <text>
        <r>
          <rPr>
            <b/>
            <sz val="8"/>
            <color indexed="81"/>
            <rFont val="Tahoma"/>
            <family val="2"/>
          </rPr>
          <t xml:space="preserve">Si un nombre est inscrit dans la colonne $/porcelet sevré, les nombres entrés dans la colonne  $/an seront ignorées par la calculatrice. </t>
        </r>
        <r>
          <rPr>
            <sz val="8"/>
            <color indexed="81"/>
            <rFont val="Tahoma"/>
            <family val="2"/>
          </rPr>
          <t xml:space="preserve">
</t>
        </r>
      </text>
    </comment>
    <comment ref="E51" authorId="0" shapeId="0" xr:uid="{00000000-0006-0000-0000-000005000000}">
      <text>
        <r>
          <rPr>
            <b/>
            <sz val="8"/>
            <color indexed="81"/>
            <rFont val="Tahoma"/>
            <family val="2"/>
          </rPr>
          <t>Si un nombre est inscrit dans la colonne $/porcelet sevré, les nombres entrés dans la colonne  $/an seront ignorées par la calculatrice.</t>
        </r>
      </text>
    </comment>
    <comment ref="D80" authorId="0" shapeId="0" xr:uid="{00000000-0006-0000-0000-000006000000}">
      <text>
        <r>
          <rPr>
            <b/>
            <sz val="8"/>
            <color indexed="81"/>
            <rFont val="Tahoma"/>
            <family val="2"/>
          </rPr>
          <t>Si un nombre est inscrit dans la colonne $/porcelet sevré, les nombres entrés dans la colonne  $/an seront ignorées par la calculatrice.</t>
        </r>
      </text>
    </comment>
    <comment ref="E80" authorId="0" shapeId="0" xr:uid="{00000000-0006-0000-0000-000007000000}">
      <text>
        <r>
          <rPr>
            <b/>
            <sz val="8"/>
            <color indexed="81"/>
            <rFont val="Tahoma"/>
            <family val="2"/>
          </rPr>
          <t>Si un nombre est inscrit dans la colonne $/porcelet sevré, les nombres entrés dans la colonne  $/an seront ignorées par la calculatrice.</t>
        </r>
      </text>
    </comment>
    <comment ref="D94" authorId="0" shapeId="0" xr:uid="{00000000-0006-0000-0000-000008000000}">
      <text>
        <r>
          <rPr>
            <b/>
            <sz val="8"/>
            <color indexed="81"/>
            <rFont val="Tahoma"/>
            <family val="2"/>
          </rPr>
          <t>Si un nombre est inscrit dans la colonne $/porcelet sevré, les nombres entrés dans la colonne  $/an seront ignorées par la calculatrice.</t>
        </r>
      </text>
    </comment>
    <comment ref="E94" authorId="0" shapeId="0" xr:uid="{00000000-0006-0000-0000-000009000000}">
      <text>
        <r>
          <rPr>
            <b/>
            <sz val="8"/>
            <color indexed="81"/>
            <rFont val="Tahoma"/>
            <family val="2"/>
          </rPr>
          <t>Si un nombre est inscrit dans la colonne $/porcelet sevré, les nombres entrés dans la colonne  $/an seront ignorées par la calculatrice.</t>
        </r>
      </text>
    </comment>
    <comment ref="D106" authorId="0" shapeId="0" xr:uid="{00000000-0006-0000-0000-00000A000000}">
      <text>
        <r>
          <rPr>
            <b/>
            <sz val="8"/>
            <color indexed="81"/>
            <rFont val="Tahoma"/>
            <family val="2"/>
          </rPr>
          <t>Si un nombre est inscrit dans la colonne $/porcelet sevré, les nombres entrés dans la colonne  $/an seront ignorées par la calculatrice.</t>
        </r>
      </text>
    </comment>
    <comment ref="E106" authorId="0" shapeId="0" xr:uid="{00000000-0006-0000-0000-00000B000000}">
      <text>
        <r>
          <rPr>
            <b/>
            <sz val="8"/>
            <color indexed="81"/>
            <rFont val="Tahoma"/>
            <family val="2"/>
          </rPr>
          <t>Si un nombre est inscrit dans la colonne $/porcelet sevré, les nombres entrés dans la colonne  $/an seront ignorées par la calculatrice.</t>
        </r>
      </text>
    </comment>
    <comment ref="B132" authorId="0" shapeId="0" xr:uid="{00000000-0006-0000-0000-00000C000000}">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r>
          <rPr>
            <sz val="8"/>
            <color indexed="81"/>
            <rFont val="Tahoma"/>
            <family val="2"/>
          </rPr>
          <t xml:space="preserve">
</t>
        </r>
      </text>
    </comment>
  </commentList>
</comments>
</file>

<file path=xl/sharedStrings.xml><?xml version="1.0" encoding="utf-8"?>
<sst xmlns="http://schemas.openxmlformats.org/spreadsheetml/2006/main" count="226" uniqueCount="194">
  <si>
    <t>Revised: July 94</t>
  </si>
  <si>
    <t>Analysis:</t>
  </si>
  <si>
    <t xml:space="preserve">      (Use the same units for this and the variable cost sections)</t>
  </si>
  <si>
    <t>y</t>
  </si>
  <si>
    <t>-</t>
  </si>
  <si>
    <t>----</t>
  </si>
  <si>
    <t xml:space="preserve"> -------</t>
  </si>
  <si>
    <t>feeders</t>
  </si>
  <si>
    <t>--------</t>
  </si>
  <si>
    <t xml:space="preserve"> --------</t>
  </si>
  <si>
    <t xml:space="preserve"> Grain #1</t>
  </si>
  <si>
    <t xml:space="preserve">       #2</t>
  </si>
  <si>
    <t xml:space="preserve">       #3</t>
  </si>
  <si>
    <t xml:space="preserve"> </t>
  </si>
  <si>
    <t>Description</t>
  </si>
  <si>
    <t xml:space="preserve">  Crop Transfers (based on</t>
  </si>
  <si>
    <t xml:space="preserve"> *** (Input ONLY if NOT using Crop Transfer table) ***</t>
  </si>
  <si>
    <t xml:space="preserve"> Description</t>
  </si>
  <si>
    <t xml:space="preserve">  --------</t>
  </si>
  <si>
    <t xml:space="preserve">  ------</t>
  </si>
  <si>
    <t>Feeder</t>
  </si>
  <si>
    <t>C Gilts</t>
  </si>
  <si>
    <t>Feed Cst</t>
  </si>
  <si>
    <t>Sumstd</t>
  </si>
  <si>
    <t xml:space="preserve">       17 %</t>
  </si>
  <si>
    <t>Feederstd</t>
  </si>
  <si>
    <t xml:space="preserve">       33 %</t>
  </si>
  <si>
    <t xml:space="preserve">       50 %</t>
  </si>
  <si>
    <t>z</t>
  </si>
  <si>
    <t xml:space="preserve">       67 %</t>
  </si>
  <si>
    <t>v1</t>
  </si>
  <si>
    <t xml:space="preserve">       83 %</t>
  </si>
  <si>
    <t>v2</t>
  </si>
  <si>
    <t/>
  </si>
  <si>
    <t>Allo!C3..J14</t>
  </si>
  <si>
    <t>Tran!D3..G14</t>
  </si>
  <si>
    <t>Wfarm!L4</t>
  </si>
  <si>
    <t>Wfarm!L5</t>
  </si>
  <si>
    <t>Wfarm!L6</t>
  </si>
  <si>
    <t>Wfarm!L7</t>
  </si>
  <si>
    <t>Wfarm!L8</t>
  </si>
  <si>
    <t>Wfarm!L9</t>
  </si>
  <si>
    <t>Wfarm!K4</t>
  </si>
  <si>
    <t>Wfarm!K5</t>
  </si>
  <si>
    <t>Wfarm!K6</t>
  </si>
  <si>
    <t>Wfarm!K7</t>
  </si>
  <si>
    <t xml:space="preserve"> Homegrown Feed:  </t>
  </si>
  <si>
    <t>high</t>
  </si>
  <si>
    <t>expected</t>
  </si>
  <si>
    <t>low</t>
  </si>
  <si>
    <t>stddev</t>
  </si>
  <si>
    <t>feed</t>
  </si>
  <si>
    <t>high-low</t>
  </si>
  <si>
    <t>Chaque exploitant peut modifier les nombres en bleu pour refléter les données de son entreprise.</t>
  </si>
  <si>
    <t>Nombre de truies</t>
  </si>
  <si>
    <t>$/truie</t>
  </si>
  <si>
    <t>truie</t>
  </si>
  <si>
    <t>$/verrat</t>
  </si>
  <si>
    <t>verrat</t>
  </si>
  <si>
    <t>Nombre de verrats</t>
  </si>
  <si>
    <t>Portées par année</t>
  </si>
  <si>
    <t>Jours en pouponnière par portée</t>
  </si>
  <si>
    <t>Jours d'utilisation des loges/ mise-bas</t>
  </si>
  <si>
    <t>Intervalle entre mise-bas et saillie</t>
  </si>
  <si>
    <t>Porcs nés vivants par portée</t>
  </si>
  <si>
    <t>% de survie - présevrage</t>
  </si>
  <si>
    <t>Poids anticipé au sevrage - kg</t>
  </si>
  <si>
    <t xml:space="preserve">   Portées/truie/an</t>
  </si>
  <si>
    <t xml:space="preserve">  $/an</t>
  </si>
  <si>
    <t>$/an</t>
  </si>
  <si>
    <t xml:space="preserve">    Truie sèche</t>
  </si>
  <si>
    <t xml:space="preserve"> Truie sèche</t>
  </si>
  <si>
    <t>Truie sèche - kg/truie/jour</t>
  </si>
  <si>
    <t>Truie allaitante - kg/truie/jour</t>
  </si>
  <si>
    <t xml:space="preserve">    Truie allaitante</t>
  </si>
  <si>
    <t xml:space="preserve"> Truie allaitante</t>
  </si>
  <si>
    <t>Truies de réforme</t>
  </si>
  <si>
    <t xml:space="preserve">  Truies de réforme</t>
  </si>
  <si>
    <t xml:space="preserve">    Portées par sem.</t>
  </si>
  <si>
    <t xml:space="preserve">    Loges requises</t>
  </si>
  <si>
    <t>Verrat - kg/verrat/jour</t>
  </si>
  <si>
    <t xml:space="preserve">    Verrat</t>
  </si>
  <si>
    <t>Verrats de réforme</t>
  </si>
  <si>
    <t>Optimiste</t>
  </si>
  <si>
    <t xml:space="preserve"> Anticipé</t>
  </si>
  <si>
    <t xml:space="preserve">   Pessimiste</t>
  </si>
  <si>
    <t>Fourchette plus ou moins normale, coûts d'alimentation :</t>
  </si>
  <si>
    <t>% des coûts prévus</t>
  </si>
  <si>
    <t xml:space="preserve">   Anticipé</t>
  </si>
  <si>
    <t>REVENUS</t>
  </si>
  <si>
    <t xml:space="preserve">  Verrats de réforme</t>
  </si>
  <si>
    <t>Autres ventes</t>
  </si>
  <si>
    <t>Tête</t>
  </si>
  <si>
    <t xml:space="preserve">     Prix</t>
  </si>
  <si>
    <t xml:space="preserve">  Revenu</t>
  </si>
  <si>
    <t>Revenu</t>
  </si>
  <si>
    <t xml:space="preserve">Ventes de porcs </t>
  </si>
  <si>
    <t>$/tête</t>
  </si>
  <si>
    <t xml:space="preserve">  Revenu total </t>
  </si>
  <si>
    <t>DÉPENSES</t>
  </si>
  <si>
    <t>Type</t>
  </si>
  <si>
    <t>**(Enter the herd size used to determine Frais variables)</t>
  </si>
  <si>
    <t>Frais variables</t>
  </si>
  <si>
    <t xml:space="preserve"> Alimentation complémentaire</t>
  </si>
  <si>
    <t xml:space="preserve"> Grain 1</t>
  </si>
  <si>
    <t xml:space="preserve">       2</t>
  </si>
  <si>
    <t xml:space="preserve">       3</t>
  </si>
  <si>
    <t>Complément protéique</t>
  </si>
  <si>
    <t>Prémélange</t>
  </si>
  <si>
    <t xml:space="preserve"> Maïs</t>
  </si>
  <si>
    <t>Orge</t>
  </si>
  <si>
    <t>Achats bétail</t>
  </si>
  <si>
    <t xml:space="preserve"> Verrats reproducteurs</t>
  </si>
  <si>
    <t xml:space="preserve">  Cochettes de remplacement</t>
  </si>
  <si>
    <t># de têtes</t>
  </si>
  <si>
    <t xml:space="preserve"> Main-d'œuvre salariée</t>
  </si>
  <si>
    <t xml:space="preserve">  Frais vét. et médicaments</t>
  </si>
  <si>
    <t xml:space="preserve"> Coûts de rep. et semence</t>
  </si>
  <si>
    <t>Litière</t>
  </si>
  <si>
    <t xml:space="preserve"> Mise en marché</t>
  </si>
  <si>
    <t xml:space="preserve"> Transport</t>
  </si>
  <si>
    <t>Fournitures -porcherie</t>
  </si>
  <si>
    <t xml:space="preserve"> Travail à forfait</t>
  </si>
  <si>
    <t>Élimination du fumier</t>
  </si>
  <si>
    <t xml:space="preserve"> Location d'équipement</t>
  </si>
  <si>
    <t xml:space="preserve"> Serv. publics (électricité, gaz)</t>
  </si>
  <si>
    <t xml:space="preserve"> Rép. et entretien du matériel</t>
  </si>
  <si>
    <t xml:space="preserve"> Carburant</t>
  </si>
  <si>
    <t xml:space="preserve"> Rép. et entretien des bâtiments</t>
  </si>
  <si>
    <t>Location de bâtiment</t>
  </si>
  <si>
    <t xml:space="preserve">  Frais variables généraux</t>
  </si>
  <si>
    <t xml:space="preserve">Intérêt sur </t>
  </si>
  <si>
    <t>capital d'exploitation</t>
  </si>
  <si>
    <t>Total  des frais variables</t>
  </si>
  <si>
    <t>% int.</t>
  </si>
  <si>
    <t>% an</t>
  </si>
  <si>
    <t>Frais fixes :</t>
  </si>
  <si>
    <t xml:space="preserve"> Dépréciation</t>
  </si>
  <si>
    <t xml:space="preserve"> Intérêts sur prêts à terme</t>
  </si>
  <si>
    <t xml:space="preserve"> Coûts des terres</t>
  </si>
  <si>
    <t xml:space="preserve">Frais fixes généraux </t>
  </si>
  <si>
    <t xml:space="preserve">Total des frais fixes </t>
  </si>
  <si>
    <t>Revenus :</t>
  </si>
  <si>
    <t xml:space="preserve">Revenus totaux anticipés </t>
  </si>
  <si>
    <t xml:space="preserve">    moins : frais variables</t>
  </si>
  <si>
    <t>Marge d'exploitation anticipée</t>
  </si>
  <si>
    <t xml:space="preserve">    moins : frais fixes</t>
  </si>
  <si>
    <t xml:space="preserve">Revenu net anticipé </t>
  </si>
  <si>
    <t xml:space="preserve">Frais fixes </t>
  </si>
  <si>
    <t>Total des frais</t>
  </si>
  <si>
    <t>Probabilité d'obtenir au moins le seuil de rentabilité           ==&gt;</t>
  </si>
  <si>
    <t>Probabilité d'obtenir au moins</t>
  </si>
  <si>
    <t>profit==&gt;</t>
  </si>
  <si>
    <t xml:space="preserve">Indicateur de risque - </t>
  </si>
  <si>
    <t>Coefficient de variation :                      ==&gt;</t>
  </si>
  <si>
    <t xml:space="preserve">  Profits</t>
  </si>
  <si>
    <t xml:space="preserve">Probabilité d'obtenir au moins </t>
  </si>
  <si>
    <t>Pour plus d'information</t>
  </si>
  <si>
    <t>1 877 424-1300</t>
  </si>
  <si>
    <t>L'utilisateur de la présente feuille de travail est entièrement responsable de son contenu.</t>
  </si>
  <si>
    <t>$/porcelet sev.</t>
  </si>
  <si>
    <t xml:space="preserve">Porcelets sev. vendus/an </t>
  </si>
  <si>
    <t xml:space="preserve">Besoins alimentaires : </t>
  </si>
  <si>
    <t>Alimentation comp. - kg/porcelet sev.</t>
  </si>
  <si>
    <t xml:space="preserve">  Porcelet sev.vendus </t>
  </si>
  <si>
    <t xml:space="preserve">    Porcelets sev. par portée</t>
  </si>
  <si>
    <t>porcelets sev.</t>
  </si>
  <si>
    <t xml:space="preserve">    Porcelets sev. par an</t>
  </si>
  <si>
    <t xml:space="preserve">    Porcelets sev./loge/an</t>
  </si>
  <si>
    <t xml:space="preserve">    Kg porcelet sev. produit/an</t>
  </si>
  <si>
    <t xml:space="preserve">  par porcelet sev. (Y or N)</t>
  </si>
  <si>
    <t xml:space="preserve">  par kg of porcelet sev.</t>
  </si>
  <si>
    <t xml:space="preserve">Prix porcelet sev. </t>
  </si>
  <si>
    <t xml:space="preserve">Utiliser col. $/porcelet sev.   OU   $/an </t>
  </si>
  <si>
    <t xml:space="preserve">Seuil de rentabilité anticipé  $/porcelet sev. </t>
  </si>
  <si>
    <t>porcelet sev.</t>
  </si>
  <si>
    <t xml:space="preserve"> Coûts totaux d'alimentation </t>
  </si>
  <si>
    <t xml:space="preserve">    Besoins alimentaires/an (tonnes) :</t>
  </si>
  <si>
    <t>Facteurs de risque :</t>
  </si>
  <si>
    <t xml:space="preserve">    Taux de mise-bas %</t>
  </si>
  <si>
    <t>Alimentation complémentaire</t>
  </si>
  <si>
    <t>Frais variables :</t>
  </si>
  <si>
    <t>Alimentation :</t>
  </si>
  <si>
    <t>Autres</t>
  </si>
  <si>
    <t>faible risque</t>
  </si>
  <si>
    <t>risque modéré</t>
  </si>
  <si>
    <t>risque élevé</t>
  </si>
  <si>
    <t>ag.info.omafra@ontario.ca</t>
  </si>
  <si>
    <t>Il s’agit d’un outil de budgétisation contenant un chiffrier pour le calcul du coût de production. Des champs à remplir sont prévus pour l’utilisateur. L’outil comporte 21 colonnes et 252 lignes.</t>
  </si>
  <si>
    <t>fin de la feuille de calcul</t>
  </si>
  <si>
    <r>
      <t>BUDGET D'ENTREPRISE - NAISSAGE- SEVRAGE</t>
    </r>
    <r>
      <rPr>
        <b/>
        <vertAlign val="superscript"/>
        <sz val="12"/>
        <rFont val="Arial"/>
        <family val="2"/>
      </rPr>
      <t>1</t>
    </r>
  </si>
  <si>
    <t>Révision : 2023</t>
  </si>
  <si>
    <t>1. Basé sur les Budgets mensuels du porc, développés par MAAAO</t>
  </si>
  <si>
    <t xml:space="preserve">Centre d'information agricole du MAAAO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</si>
</sst>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_);\(&quot;$&quot;#,##0\)"/>
    <numFmt numFmtId="165" formatCode="&quot;$&quot;#,##0.00_);\(&quot;$&quot;#,##0.00\)"/>
    <numFmt numFmtId="166" formatCode=";;;"/>
    <numFmt numFmtId="167" formatCode="0.00_)"/>
    <numFmt numFmtId="168" formatCode="0_)"/>
    <numFmt numFmtId="169" formatCode="0.0_)"/>
    <numFmt numFmtId="170" formatCode="&quot;$&quot;#,##0.0000_);\(&quot;$&quot;#,##0.0000\)"/>
    <numFmt numFmtId="171" formatCode="0.000_)"/>
    <numFmt numFmtId="172" formatCode="0.00000"/>
  </numFmts>
  <fonts count="20" x14ac:knownFonts="1">
    <font>
      <sz val="10"/>
      <name val="Courier"/>
    </font>
    <font>
      <sz val="8"/>
      <name val="Courier"/>
    </font>
    <font>
      <sz val="9"/>
      <name val="Arial"/>
      <family val="2"/>
    </font>
    <font>
      <sz val="10"/>
      <name val="Arial"/>
      <family val="2"/>
    </font>
    <font>
      <u/>
      <sz val="10"/>
      <color indexed="12"/>
      <name val="Courier"/>
    </font>
    <font>
      <sz val="8"/>
      <color indexed="81"/>
      <name val="Tahoma"/>
      <family val="2"/>
    </font>
    <font>
      <b/>
      <sz val="8"/>
      <color indexed="81"/>
      <name val="Tahoma"/>
      <family val="2"/>
    </font>
    <font>
      <sz val="9"/>
      <color indexed="8"/>
      <name val="Arial"/>
      <family val="2"/>
    </font>
    <font>
      <sz val="10"/>
      <name val="Courier"/>
      <family val="3"/>
    </font>
    <font>
      <b/>
      <sz val="12"/>
      <name val="Arial"/>
      <family val="2"/>
    </font>
    <font>
      <b/>
      <sz val="12"/>
      <color indexed="8"/>
      <name val="Arial"/>
      <family val="2"/>
    </font>
    <font>
      <sz val="12"/>
      <color indexed="12"/>
      <name val="Arial"/>
      <family val="2"/>
    </font>
    <font>
      <b/>
      <vertAlign val="superscript"/>
      <sz val="12"/>
      <name val="Arial"/>
      <family val="2"/>
    </font>
    <font>
      <b/>
      <sz val="12"/>
      <color indexed="12"/>
      <name val="Arial"/>
      <family val="2"/>
    </font>
    <font>
      <b/>
      <sz val="12"/>
      <color indexed="10"/>
      <name val="Arial"/>
      <family val="2"/>
    </font>
    <font>
      <sz val="12"/>
      <color indexed="10"/>
      <name val="Courier"/>
    </font>
    <font>
      <sz val="12"/>
      <name val="Courier"/>
    </font>
    <font>
      <u/>
      <sz val="12"/>
      <color indexed="12"/>
      <name val="Arial"/>
      <family val="2"/>
    </font>
    <font>
      <b/>
      <sz val="12"/>
      <color rgb="FF0000FF"/>
      <name val="Arial"/>
      <family val="2"/>
    </font>
    <font>
      <u/>
      <sz val="10"/>
      <color indexed="12"/>
      <name val="Courier"/>
      <family val="3"/>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9"/>
        <bgColor indexed="42"/>
      </patternFill>
    </fill>
  </fills>
  <borders count="1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4" fillId="0" borderId="0" applyNumberFormat="0" applyFill="0" applyBorder="0" applyAlignment="0" applyProtection="0">
      <alignment vertical="top"/>
      <protection locked="0"/>
    </xf>
    <xf numFmtId="0" fontId="8" fillId="0" borderId="0"/>
    <xf numFmtId="0" fontId="8" fillId="0" borderId="0"/>
    <xf numFmtId="0" fontId="19" fillId="0" borderId="0" applyNumberFormat="0" applyFill="0" applyBorder="0" applyAlignment="0" applyProtection="0">
      <alignment vertical="top"/>
      <protection locked="0"/>
    </xf>
  </cellStyleXfs>
  <cellXfs count="181">
    <xf numFmtId="0" fontId="0" fillId="0" borderId="0" xfId="0"/>
    <xf numFmtId="0" fontId="2" fillId="0" borderId="0" xfId="0" applyFont="1" applyAlignment="1" applyProtection="1">
      <alignment horizontal="left"/>
    </xf>
    <xf numFmtId="0" fontId="2" fillId="0" borderId="0" xfId="0" applyFont="1"/>
    <xf numFmtId="166" fontId="2" fillId="0" borderId="0" xfId="0" applyNumberFormat="1" applyFont="1" applyProtection="1"/>
    <xf numFmtId="0" fontId="2" fillId="0" borderId="0" xfId="0" applyFont="1" applyProtection="1"/>
    <xf numFmtId="168" fontId="2" fillId="0" borderId="0" xfId="0" applyNumberFormat="1" applyFont="1" applyProtection="1"/>
    <xf numFmtId="37" fontId="2" fillId="0" borderId="0" xfId="0" applyNumberFormat="1" applyFont="1" applyProtection="1"/>
    <xf numFmtId="0" fontId="3" fillId="0" borderId="0" xfId="0" applyFont="1"/>
    <xf numFmtId="164" fontId="2" fillId="0" borderId="0" xfId="0" applyNumberFormat="1" applyFont="1" applyProtection="1"/>
    <xf numFmtId="2" fontId="7" fillId="0" borderId="0" xfId="0" applyNumberFormat="1" applyFont="1" applyProtection="1"/>
    <xf numFmtId="2" fontId="2" fillId="0" borderId="0" xfId="0" applyNumberFormat="1" applyFont="1" applyProtection="1"/>
    <xf numFmtId="2" fontId="2" fillId="0" borderId="0" xfId="0" applyNumberFormat="1" applyFont="1"/>
    <xf numFmtId="172" fontId="2" fillId="0" borderId="0" xfId="0" applyNumberFormat="1" applyFont="1" applyProtection="1"/>
    <xf numFmtId="172" fontId="3" fillId="0" borderId="0" xfId="0" applyNumberFormat="1" applyFont="1"/>
    <xf numFmtId="172" fontId="2" fillId="0" borderId="0" xfId="0" applyNumberFormat="1" applyFont="1"/>
    <xf numFmtId="0" fontId="7" fillId="5" borderId="0" xfId="0" applyFont="1" applyFill="1" applyBorder="1"/>
    <xf numFmtId="168" fontId="7" fillId="5" borderId="0" xfId="0" applyNumberFormat="1" applyFont="1" applyFill="1" applyBorder="1" applyProtection="1"/>
    <xf numFmtId="0" fontId="9" fillId="0" borderId="0" xfId="2" applyFont="1"/>
    <xf numFmtId="0" fontId="10" fillId="5" borderId="5" xfId="0" applyFont="1" applyFill="1" applyBorder="1"/>
    <xf numFmtId="0" fontId="10" fillId="5" borderId="6" xfId="0" applyFont="1" applyFill="1" applyBorder="1"/>
    <xf numFmtId="0" fontId="11" fillId="0" borderId="6" xfId="1" applyFont="1" applyFill="1" applyBorder="1" applyAlignment="1" applyProtection="1">
      <alignment horizontal="center"/>
    </xf>
    <xf numFmtId="9" fontId="10" fillId="5" borderId="6" xfId="0" applyNumberFormat="1" applyFont="1" applyFill="1" applyBorder="1" applyProtection="1"/>
    <xf numFmtId="168" fontId="10" fillId="5" borderId="6" xfId="0" applyNumberFormat="1" applyFont="1" applyFill="1" applyBorder="1" applyProtection="1"/>
    <xf numFmtId="168" fontId="10" fillId="5" borderId="12" xfId="0" applyNumberFormat="1" applyFont="1" applyFill="1" applyBorder="1" applyProtection="1"/>
    <xf numFmtId="0" fontId="10" fillId="5" borderId="0" xfId="3" applyFont="1" applyFill="1" applyBorder="1" applyProtection="1"/>
    <xf numFmtId="0" fontId="9" fillId="0" borderId="0" xfId="0" applyFont="1"/>
    <xf numFmtId="0" fontId="9" fillId="0" borderId="0" xfId="0" applyFont="1" applyAlignment="1">
      <alignment horizontal="right"/>
    </xf>
    <xf numFmtId="0" fontId="9" fillId="2" borderId="1" xfId="0" applyFont="1" applyFill="1" applyBorder="1" applyAlignment="1" applyProtection="1">
      <alignment horizontal="left"/>
    </xf>
    <xf numFmtId="0" fontId="9" fillId="2" borderId="2" xfId="0" applyFont="1" applyFill="1" applyBorder="1"/>
    <xf numFmtId="0" fontId="9" fillId="2" borderId="2" xfId="0" applyFont="1" applyFill="1" applyBorder="1" applyAlignment="1" applyProtection="1">
      <alignment horizontal="left"/>
    </xf>
    <xf numFmtId="0" fontId="9" fillId="2" borderId="11" xfId="0" applyFont="1" applyFill="1" applyBorder="1" applyAlignment="1">
      <alignment horizontal="right"/>
    </xf>
    <xf numFmtId="166" fontId="9" fillId="2" borderId="5" xfId="0" applyNumberFormat="1" applyFont="1" applyFill="1" applyBorder="1" applyProtection="1"/>
    <xf numFmtId="0" fontId="9" fillId="2" borderId="6" xfId="0" applyFont="1" applyFill="1" applyBorder="1"/>
    <xf numFmtId="0" fontId="9" fillId="2" borderId="6" xfId="0" applyFont="1" applyFill="1" applyBorder="1" applyProtection="1"/>
    <xf numFmtId="165" fontId="9" fillId="2" borderId="6" xfId="0" applyNumberFormat="1" applyFont="1" applyFill="1" applyBorder="1" applyProtection="1"/>
    <xf numFmtId="165" fontId="9" fillId="2" borderId="12" xfId="0" applyNumberFormat="1" applyFont="1" applyFill="1" applyBorder="1" applyAlignment="1" applyProtection="1">
      <alignment horizontal="right"/>
    </xf>
    <xf numFmtId="0" fontId="9" fillId="0" borderId="0" xfId="0" applyFont="1" applyFill="1" applyBorder="1"/>
    <xf numFmtId="0" fontId="9" fillId="0" borderId="0" xfId="0" applyFont="1" applyFill="1" applyBorder="1" applyProtection="1"/>
    <xf numFmtId="165" fontId="9" fillId="0" borderId="0" xfId="0" applyNumberFormat="1" applyFont="1" applyFill="1" applyBorder="1" applyProtection="1"/>
    <xf numFmtId="165" fontId="9" fillId="0" borderId="4" xfId="0" applyNumberFormat="1" applyFont="1" applyFill="1" applyBorder="1" applyAlignment="1" applyProtection="1">
      <alignment horizontal="right"/>
    </xf>
    <xf numFmtId="0" fontId="13" fillId="3" borderId="7" xfId="0" applyFont="1" applyFill="1" applyBorder="1" applyAlignment="1" applyProtection="1">
      <alignment horizontal="center"/>
      <protection locked="0"/>
    </xf>
    <xf numFmtId="166" fontId="9" fillId="2" borderId="2" xfId="0" applyNumberFormat="1" applyFont="1" applyFill="1" applyBorder="1" applyAlignment="1" applyProtection="1">
      <alignment horizontal="left"/>
    </xf>
    <xf numFmtId="0" fontId="9" fillId="2" borderId="3" xfId="0" applyFont="1" applyFill="1" applyBorder="1" applyAlignment="1" applyProtection="1">
      <alignment horizontal="left"/>
    </xf>
    <xf numFmtId="0" fontId="9" fillId="2" borderId="0" xfId="0" applyFont="1" applyFill="1" applyBorder="1"/>
    <xf numFmtId="0" fontId="9" fillId="2" borderId="0" xfId="0" applyFont="1" applyFill="1" applyBorder="1" applyProtection="1"/>
    <xf numFmtId="166" fontId="9" fillId="2" borderId="4" xfId="0" applyNumberFormat="1" applyFont="1" applyFill="1" applyBorder="1" applyAlignment="1" applyProtection="1">
      <alignment horizontal="right"/>
    </xf>
    <xf numFmtId="0" fontId="9" fillId="2" borderId="0" xfId="0" applyFont="1" applyFill="1" applyBorder="1" applyAlignment="1" applyProtection="1">
      <alignment horizontal="left"/>
    </xf>
    <xf numFmtId="167" fontId="9" fillId="2" borderId="4" xfId="0" applyNumberFormat="1" applyFont="1" applyFill="1" applyBorder="1" applyAlignment="1" applyProtection="1">
      <alignment horizontal="right"/>
    </xf>
    <xf numFmtId="168" fontId="9" fillId="2" borderId="4" xfId="0" applyNumberFormat="1" applyFont="1" applyFill="1" applyBorder="1" applyAlignment="1" applyProtection="1">
      <alignment horizontal="right"/>
    </xf>
    <xf numFmtId="168" fontId="9" fillId="2" borderId="0" xfId="0" applyNumberFormat="1" applyFont="1" applyFill="1" applyBorder="1" applyProtection="1"/>
    <xf numFmtId="169" fontId="9" fillId="2" borderId="4" xfId="0" applyNumberFormat="1" applyFont="1" applyFill="1" applyBorder="1" applyAlignment="1" applyProtection="1">
      <alignment horizontal="right"/>
    </xf>
    <xf numFmtId="0" fontId="9" fillId="2" borderId="3" xfId="0" applyFont="1" applyFill="1" applyBorder="1"/>
    <xf numFmtId="167" fontId="9" fillId="2" borderId="0" xfId="0" applyNumberFormat="1" applyFont="1" applyFill="1" applyBorder="1" applyProtection="1"/>
    <xf numFmtId="0" fontId="13" fillId="2" borderId="2" xfId="0" applyFont="1" applyFill="1" applyBorder="1" applyAlignment="1" applyProtection="1">
      <alignment horizontal="center"/>
      <protection locked="0"/>
    </xf>
    <xf numFmtId="0" fontId="9" fillId="2" borderId="3" xfId="0" applyFont="1" applyFill="1" applyBorder="1" applyProtection="1"/>
    <xf numFmtId="170" fontId="9" fillId="2" borderId="0" xfId="0" applyNumberFormat="1" applyFont="1" applyFill="1" applyBorder="1" applyProtection="1"/>
    <xf numFmtId="37" fontId="9" fillId="2" borderId="0" xfId="0" applyNumberFormat="1" applyFont="1" applyFill="1" applyBorder="1" applyProtection="1"/>
    <xf numFmtId="0" fontId="9" fillId="2" borderId="0" xfId="0" applyFont="1" applyFill="1" applyBorder="1" applyAlignment="1" applyProtection="1">
      <alignment horizontal="left" indent="1"/>
    </xf>
    <xf numFmtId="0" fontId="14" fillId="2" borderId="3" xfId="0" applyFont="1" applyFill="1" applyBorder="1" applyAlignment="1" applyProtection="1">
      <alignment horizontal="left"/>
    </xf>
    <xf numFmtId="0" fontId="14" fillId="2" borderId="0" xfId="0" applyFont="1" applyFill="1" applyBorder="1"/>
    <xf numFmtId="169" fontId="14" fillId="2" borderId="0" xfId="0" applyNumberFormat="1" applyFont="1" applyFill="1" applyBorder="1" applyProtection="1"/>
    <xf numFmtId="165" fontId="14" fillId="2" borderId="0" xfId="0" applyNumberFormat="1" applyFont="1" applyFill="1" applyBorder="1" applyProtection="1"/>
    <xf numFmtId="0" fontId="14" fillId="2" borderId="4" xfId="0" applyFont="1" applyFill="1" applyBorder="1" applyAlignment="1">
      <alignment horizontal="right"/>
    </xf>
    <xf numFmtId="0" fontId="14" fillId="2" borderId="0" xfId="0" applyFont="1" applyFill="1" applyBorder="1" applyProtection="1"/>
    <xf numFmtId="167" fontId="14" fillId="2" borderId="0" xfId="0" applyNumberFormat="1" applyFont="1" applyFill="1" applyBorder="1" applyProtection="1"/>
    <xf numFmtId="168" fontId="14" fillId="2" borderId="4" xfId="0" applyNumberFormat="1" applyFont="1" applyFill="1" applyBorder="1" applyAlignment="1" applyProtection="1">
      <alignment horizontal="right"/>
    </xf>
    <xf numFmtId="168" fontId="14" fillId="2" borderId="0" xfId="0" applyNumberFormat="1" applyFont="1" applyFill="1" applyBorder="1" applyProtection="1"/>
    <xf numFmtId="0" fontId="14" fillId="3" borderId="7" xfId="0" applyFont="1" applyFill="1" applyBorder="1" applyAlignment="1" applyProtection="1">
      <alignment horizontal="center"/>
      <protection locked="0"/>
    </xf>
    <xf numFmtId="0" fontId="14" fillId="2" borderId="0" xfId="0" applyFont="1" applyFill="1" applyBorder="1" applyAlignment="1" applyProtection="1">
      <alignment horizontal="center"/>
    </xf>
    <xf numFmtId="0" fontId="9" fillId="0" borderId="8" xfId="0" applyFont="1" applyFill="1" applyBorder="1"/>
    <xf numFmtId="0" fontId="9" fillId="0" borderId="10" xfId="0" applyFont="1" applyFill="1" applyBorder="1" applyProtection="1"/>
    <xf numFmtId="0" fontId="9" fillId="0" borderId="10" xfId="0" applyFont="1" applyFill="1" applyBorder="1"/>
    <xf numFmtId="167" fontId="9" fillId="0" borderId="10" xfId="0" applyNumberFormat="1" applyFont="1" applyFill="1" applyBorder="1" applyProtection="1"/>
    <xf numFmtId="0" fontId="9" fillId="0" borderId="9" xfId="0" applyFont="1" applyFill="1" applyBorder="1" applyAlignment="1" applyProtection="1">
      <alignment horizontal="right"/>
    </xf>
    <xf numFmtId="0" fontId="9" fillId="2" borderId="0" xfId="0" quotePrefix="1" applyFont="1" applyFill="1" applyBorder="1" applyAlignment="1" applyProtection="1">
      <alignment horizontal="left"/>
    </xf>
    <xf numFmtId="167" fontId="13" fillId="3" borderId="7" xfId="0" applyNumberFormat="1" applyFont="1" applyFill="1" applyBorder="1" applyAlignment="1" applyProtection="1">
      <alignment horizontal="center"/>
      <protection locked="0"/>
    </xf>
    <xf numFmtId="0" fontId="9" fillId="2" borderId="4" xfId="0" applyFont="1" applyFill="1" applyBorder="1" applyAlignment="1" applyProtection="1">
      <alignment horizontal="right"/>
    </xf>
    <xf numFmtId="37" fontId="9" fillId="2" borderId="4" xfId="0" applyNumberFormat="1" applyFont="1" applyFill="1" applyBorder="1" applyAlignment="1" applyProtection="1">
      <alignment horizontal="right"/>
    </xf>
    <xf numFmtId="39" fontId="9" fillId="2" borderId="0" xfId="0" applyNumberFormat="1" applyFont="1" applyFill="1" applyBorder="1" applyProtection="1"/>
    <xf numFmtId="168" fontId="9" fillId="2" borderId="0" xfId="0" applyNumberFormat="1" applyFont="1" applyFill="1" applyBorder="1" applyAlignment="1" applyProtection="1">
      <alignment horizontal="center"/>
    </xf>
    <xf numFmtId="0" fontId="9" fillId="2" borderId="4" xfId="0" applyFont="1" applyFill="1" applyBorder="1" applyAlignment="1">
      <alignment horizontal="right"/>
    </xf>
    <xf numFmtId="0" fontId="13" fillId="3" borderId="13" xfId="0" applyFont="1" applyFill="1" applyBorder="1" applyAlignment="1" applyProtection="1">
      <alignment horizontal="center"/>
      <protection locked="0"/>
    </xf>
    <xf numFmtId="0" fontId="9" fillId="0" borderId="8" xfId="0" applyFont="1" applyFill="1" applyBorder="1" applyProtection="1"/>
    <xf numFmtId="37" fontId="9" fillId="0" borderId="10" xfId="0" applyNumberFormat="1" applyFont="1" applyFill="1" applyBorder="1" applyProtection="1"/>
    <xf numFmtId="166" fontId="9" fillId="0" borderId="10" xfId="0" applyNumberFormat="1" applyFont="1" applyFill="1" applyBorder="1" applyProtection="1"/>
    <xf numFmtId="37" fontId="9" fillId="0" borderId="9" xfId="0" applyNumberFormat="1" applyFont="1" applyFill="1" applyBorder="1" applyAlignment="1" applyProtection="1">
      <alignment horizontal="right"/>
    </xf>
    <xf numFmtId="0" fontId="9" fillId="2" borderId="1" xfId="0" applyFont="1" applyFill="1" applyBorder="1" applyProtection="1"/>
    <xf numFmtId="0" fontId="9" fillId="2" borderId="2" xfId="0" applyFont="1" applyFill="1" applyBorder="1" applyProtection="1"/>
    <xf numFmtId="167" fontId="9" fillId="2" borderId="2" xfId="0" applyNumberFormat="1" applyFont="1" applyFill="1" applyBorder="1" applyAlignment="1" applyProtection="1">
      <alignment horizontal="center"/>
    </xf>
    <xf numFmtId="0" fontId="9" fillId="2" borderId="2" xfId="0" applyFont="1" applyFill="1" applyBorder="1" applyAlignment="1" applyProtection="1">
      <alignment horizontal="center"/>
    </xf>
    <xf numFmtId="0" fontId="9" fillId="2" borderId="2" xfId="0" applyFont="1" applyFill="1" applyBorder="1" applyAlignment="1">
      <alignment horizontal="center"/>
    </xf>
    <xf numFmtId="0" fontId="9" fillId="2" borderId="11" xfId="0" applyFont="1" applyFill="1" applyBorder="1" applyAlignment="1" applyProtection="1">
      <alignment horizontal="right"/>
    </xf>
    <xf numFmtId="0" fontId="9" fillId="2" borderId="0" xfId="0" applyFont="1" applyFill="1" applyBorder="1" applyAlignment="1" applyProtection="1">
      <alignment horizontal="center"/>
    </xf>
    <xf numFmtId="167" fontId="9" fillId="2" borderId="0" xfId="0" applyNumberFormat="1" applyFont="1" applyFill="1" applyBorder="1" applyAlignment="1" applyProtection="1">
      <alignment horizontal="center"/>
    </xf>
    <xf numFmtId="0" fontId="13" fillId="3" borderId="7" xfId="0" applyFont="1" applyFill="1" applyBorder="1" applyProtection="1">
      <protection locked="0"/>
    </xf>
    <xf numFmtId="169" fontId="9" fillId="2" borderId="0" xfId="0" applyNumberFormat="1" applyFont="1" applyFill="1" applyBorder="1" applyProtection="1"/>
    <xf numFmtId="168" fontId="13" fillId="3" borderId="7" xfId="0" applyNumberFormat="1" applyFont="1" applyFill="1" applyBorder="1" applyAlignment="1" applyProtection="1">
      <alignment horizontal="right"/>
      <protection locked="0"/>
    </xf>
    <xf numFmtId="0" fontId="9" fillId="2" borderId="3" xfId="0" applyFont="1" applyFill="1" applyBorder="1" applyAlignment="1" applyProtection="1">
      <alignment horizontal="fill"/>
    </xf>
    <xf numFmtId="0" fontId="9" fillId="2" borderId="0" xfId="0" applyFont="1" applyFill="1" applyBorder="1" applyAlignment="1" applyProtection="1">
      <alignment horizontal="fill"/>
    </xf>
    <xf numFmtId="0" fontId="9" fillId="2" borderId="5" xfId="0" applyFont="1" applyFill="1" applyBorder="1" applyProtection="1"/>
    <xf numFmtId="0" fontId="9" fillId="2" borderId="6" xfId="0" applyFont="1" applyFill="1" applyBorder="1" applyAlignment="1" applyProtection="1">
      <alignment horizontal="left"/>
    </xf>
    <xf numFmtId="168" fontId="9" fillId="2" borderId="6" xfId="0" applyNumberFormat="1" applyFont="1" applyFill="1" applyBorder="1" applyProtection="1"/>
    <xf numFmtId="167" fontId="9" fillId="2" borderId="6" xfId="0" applyNumberFormat="1" applyFont="1" applyFill="1" applyBorder="1" applyProtection="1"/>
    <xf numFmtId="168" fontId="9" fillId="2" borderId="12" xfId="0" applyNumberFormat="1" applyFont="1" applyFill="1" applyBorder="1" applyAlignment="1" applyProtection="1">
      <alignment horizontal="right"/>
    </xf>
    <xf numFmtId="0" fontId="9" fillId="0" borderId="3" xfId="0" applyFont="1" applyFill="1" applyBorder="1" applyAlignment="1" applyProtection="1">
      <alignment horizontal="fill"/>
    </xf>
    <xf numFmtId="0" fontId="9" fillId="0" borderId="0" xfId="0" applyFont="1" applyFill="1" applyBorder="1" applyAlignment="1" applyProtection="1">
      <alignment horizontal="fill"/>
    </xf>
    <xf numFmtId="0" fontId="9" fillId="0" borderId="4" xfId="0" applyFont="1" applyFill="1" applyBorder="1" applyAlignment="1" applyProtection="1">
      <alignment horizontal="right"/>
    </xf>
    <xf numFmtId="0" fontId="14" fillId="2" borderId="3" xfId="0" applyFont="1" applyFill="1" applyBorder="1" applyProtection="1"/>
    <xf numFmtId="168" fontId="14" fillId="2" borderId="0" xfId="0" applyNumberFormat="1" applyFont="1" applyFill="1" applyBorder="1" applyProtection="1">
      <protection locked="0"/>
    </xf>
    <xf numFmtId="0" fontId="14" fillId="2" borderId="4" xfId="0" applyFont="1" applyFill="1" applyBorder="1" applyAlignment="1" applyProtection="1">
      <alignment horizontal="right"/>
      <protection locked="0"/>
    </xf>
    <xf numFmtId="0" fontId="14" fillId="2" borderId="0" xfId="0" applyFont="1" applyFill="1" applyBorder="1" applyProtection="1">
      <protection locked="0"/>
    </xf>
    <xf numFmtId="0" fontId="14" fillId="0" borderId="3" xfId="0" applyFont="1" applyFill="1" applyBorder="1" applyProtection="1"/>
    <xf numFmtId="0" fontId="14" fillId="0" borderId="0" xfId="0" applyFont="1" applyFill="1" applyBorder="1" applyProtection="1"/>
    <xf numFmtId="0" fontId="14" fillId="0" borderId="0" xfId="0" applyFont="1" applyFill="1" applyBorder="1"/>
    <xf numFmtId="167" fontId="14" fillId="0" borderId="0" xfId="0" applyNumberFormat="1" applyFont="1" applyFill="1" applyBorder="1" applyProtection="1"/>
    <xf numFmtId="168" fontId="14" fillId="0" borderId="0" xfId="0" applyNumberFormat="1" applyFont="1" applyFill="1" applyBorder="1" applyProtection="1"/>
    <xf numFmtId="0" fontId="14" fillId="0" borderId="4" xfId="0" applyFont="1" applyFill="1" applyBorder="1" applyAlignment="1">
      <alignment horizontal="right"/>
    </xf>
    <xf numFmtId="0" fontId="14" fillId="2" borderId="2" xfId="0" applyFont="1" applyFill="1" applyBorder="1" applyProtection="1"/>
    <xf numFmtId="0" fontId="14" fillId="2" borderId="2" xfId="0" applyFont="1" applyFill="1" applyBorder="1"/>
    <xf numFmtId="168" fontId="14" fillId="2" borderId="2" xfId="0" applyNumberFormat="1" applyFont="1" applyFill="1" applyBorder="1" applyProtection="1"/>
    <xf numFmtId="0" fontId="14" fillId="2" borderId="11" xfId="0" applyFont="1" applyFill="1" applyBorder="1" applyAlignment="1">
      <alignment horizontal="right"/>
    </xf>
    <xf numFmtId="0" fontId="9" fillId="2" borderId="0" xfId="0" applyFont="1" applyFill="1" applyBorder="1" applyAlignment="1" applyProtection="1">
      <alignment horizontal="right"/>
    </xf>
    <xf numFmtId="166" fontId="10" fillId="2" borderId="0" xfId="0" applyNumberFormat="1" applyFont="1" applyFill="1" applyBorder="1" applyProtection="1"/>
    <xf numFmtId="168" fontId="13" fillId="3" borderId="7" xfId="0" applyNumberFormat="1" applyFont="1" applyFill="1" applyBorder="1" applyAlignment="1" applyProtection="1">
      <alignment horizontal="center"/>
      <protection locked="0"/>
    </xf>
    <xf numFmtId="0" fontId="13" fillId="3" borderId="8" xfId="0" applyFont="1" applyFill="1" applyBorder="1" applyAlignment="1" applyProtection="1">
      <alignment horizontal="left"/>
      <protection locked="0"/>
    </xf>
    <xf numFmtId="0" fontId="9" fillId="3" borderId="9" xfId="0" applyFont="1" applyFill="1" applyBorder="1"/>
    <xf numFmtId="171" fontId="14" fillId="2" borderId="0" xfId="0" applyNumberFormat="1" applyFont="1" applyFill="1" applyBorder="1" applyProtection="1"/>
    <xf numFmtId="0" fontId="14" fillId="2" borderId="0" xfId="0" applyFont="1" applyFill="1" applyBorder="1" applyAlignment="1" applyProtection="1">
      <alignment horizontal="left"/>
    </xf>
    <xf numFmtId="0" fontId="14" fillId="3" borderId="8" xfId="0" applyFont="1" applyFill="1" applyBorder="1" applyAlignment="1" applyProtection="1">
      <alignment horizontal="left"/>
      <protection locked="0"/>
    </xf>
    <xf numFmtId="0" fontId="15" fillId="0" borderId="9" xfId="0" applyFont="1" applyBorder="1" applyAlignment="1"/>
    <xf numFmtId="167" fontId="14" fillId="3" borderId="7" xfId="0" applyNumberFormat="1" applyFont="1" applyFill="1" applyBorder="1" applyProtection="1">
      <protection locked="0"/>
    </xf>
    <xf numFmtId="0" fontId="14" fillId="3" borderId="7" xfId="0" applyFont="1" applyFill="1" applyBorder="1" applyProtection="1">
      <protection locked="0"/>
    </xf>
    <xf numFmtId="171" fontId="9" fillId="2" borderId="0" xfId="0" applyNumberFormat="1" applyFont="1" applyFill="1" applyBorder="1" applyProtection="1"/>
    <xf numFmtId="0" fontId="9" fillId="2" borderId="0" xfId="0" quotePrefix="1" applyFont="1" applyFill="1" applyBorder="1" applyAlignment="1" applyProtection="1">
      <alignment horizontal="center"/>
    </xf>
    <xf numFmtId="0" fontId="9" fillId="3" borderId="10" xfId="0" applyFont="1" applyFill="1" applyBorder="1"/>
    <xf numFmtId="9" fontId="9" fillId="2" borderId="0" xfId="0" applyNumberFormat="1" applyFont="1" applyFill="1" applyBorder="1" applyProtection="1"/>
    <xf numFmtId="166" fontId="9" fillId="2" borderId="0" xfId="0" applyNumberFormat="1" applyFont="1" applyFill="1" applyBorder="1" applyProtection="1"/>
    <xf numFmtId="166" fontId="9" fillId="2" borderId="3" xfId="0" applyNumberFormat="1" applyFont="1" applyFill="1" applyBorder="1" applyProtection="1"/>
    <xf numFmtId="0" fontId="9" fillId="0" borderId="8" xfId="0" applyFont="1" applyFill="1" applyBorder="1" applyAlignment="1" applyProtection="1">
      <alignment horizontal="fill"/>
    </xf>
    <xf numFmtId="0" fontId="9" fillId="0" borderId="10" xfId="0" applyFont="1" applyFill="1" applyBorder="1" applyAlignment="1" applyProtection="1">
      <alignment horizontal="fill"/>
    </xf>
    <xf numFmtId="167" fontId="9" fillId="2" borderId="3" xfId="0" applyNumberFormat="1" applyFont="1" applyFill="1" applyBorder="1" applyProtection="1"/>
    <xf numFmtId="166" fontId="9" fillId="2" borderId="12" xfId="0" applyNumberFormat="1" applyFont="1" applyFill="1" applyBorder="1" applyAlignment="1" applyProtection="1">
      <alignment horizontal="right"/>
    </xf>
    <xf numFmtId="167" fontId="9" fillId="2" borderId="0" xfId="0" applyNumberFormat="1" applyFont="1" applyFill="1" applyBorder="1" applyAlignment="1" applyProtection="1">
      <alignment horizontal="right"/>
    </xf>
    <xf numFmtId="0" fontId="13" fillId="2" borderId="0" xfId="0" applyFont="1" applyFill="1" applyBorder="1" applyAlignment="1" applyProtection="1">
      <alignment horizontal="center"/>
      <protection locked="0"/>
    </xf>
    <xf numFmtId="0" fontId="9" fillId="2" borderId="0" xfId="0" applyFont="1" applyFill="1" applyBorder="1" applyAlignment="1" applyProtection="1">
      <alignment horizontal="right"/>
    </xf>
    <xf numFmtId="0" fontId="9" fillId="2" borderId="0" xfId="0" applyFont="1" applyFill="1" applyBorder="1" applyAlignment="1">
      <alignment horizontal="left"/>
    </xf>
    <xf numFmtId="167" fontId="9" fillId="2" borderId="4" xfId="0" applyNumberFormat="1" applyFont="1" applyFill="1" applyBorder="1" applyAlignment="1" applyProtection="1">
      <alignment horizontal="center"/>
    </xf>
    <xf numFmtId="0" fontId="16" fillId="2" borderId="0" xfId="0" applyFont="1" applyFill="1" applyBorder="1" applyAlignment="1"/>
    <xf numFmtId="0" fontId="9" fillId="0" borderId="1" xfId="0" quotePrefix="1" applyFont="1" applyBorder="1"/>
    <xf numFmtId="0" fontId="9" fillId="0" borderId="2" xfId="0" applyFont="1" applyBorder="1" applyAlignment="1" applyProtection="1">
      <alignment horizontal="left"/>
    </xf>
    <xf numFmtId="0" fontId="9" fillId="0" borderId="2" xfId="0" applyFont="1" applyBorder="1"/>
    <xf numFmtId="0" fontId="13" fillId="0" borderId="2" xfId="0" applyFont="1" applyBorder="1" applyAlignment="1" applyProtection="1">
      <alignment horizontal="left"/>
      <protection locked="0"/>
    </xf>
    <xf numFmtId="0" fontId="9" fillId="0" borderId="11" xfId="0" applyFont="1" applyBorder="1" applyAlignment="1">
      <alignment horizontal="right"/>
    </xf>
    <xf numFmtId="0" fontId="9" fillId="0" borderId="5" xfId="0" quotePrefix="1" applyFont="1" applyBorder="1" applyAlignment="1">
      <alignment horizontal="left" indent="2"/>
    </xf>
    <xf numFmtId="0" fontId="9" fillId="0" borderId="6" xfId="0" applyFont="1" applyBorder="1" applyAlignment="1" applyProtection="1">
      <alignment horizontal="left"/>
    </xf>
    <xf numFmtId="0" fontId="9" fillId="0" borderId="6" xfId="0" applyFont="1" applyBorder="1"/>
    <xf numFmtId="0" fontId="13" fillId="0" borderId="6" xfId="0" applyFont="1" applyBorder="1" applyAlignment="1" applyProtection="1">
      <alignment horizontal="left"/>
      <protection locked="0"/>
    </xf>
    <xf numFmtId="0" fontId="9" fillId="0" borderId="12" xfId="0" applyFont="1" applyBorder="1" applyAlignment="1">
      <alignment horizontal="right"/>
    </xf>
    <xf numFmtId="0" fontId="16" fillId="0" borderId="1" xfId="0" applyFont="1" applyBorder="1"/>
    <xf numFmtId="0" fontId="10" fillId="5" borderId="2" xfId="0" applyFont="1" applyFill="1" applyBorder="1" applyAlignment="1" applyProtection="1">
      <alignment horizontal="fill"/>
    </xf>
    <xf numFmtId="0" fontId="10" fillId="5" borderId="11" xfId="0" applyFont="1" applyFill="1" applyBorder="1" applyAlignment="1" applyProtection="1">
      <alignment horizontal="fill"/>
    </xf>
    <xf numFmtId="0" fontId="10" fillId="5" borderId="3" xfId="0" quotePrefix="1" applyFont="1" applyFill="1" applyBorder="1" applyAlignment="1">
      <alignment horizontal="left"/>
    </xf>
    <xf numFmtId="0" fontId="10" fillId="5" borderId="0" xfId="0" applyFont="1" applyFill="1" applyBorder="1"/>
    <xf numFmtId="0" fontId="10" fillId="5" borderId="3" xfId="0" quotePrefix="1" applyFont="1" applyFill="1" applyBorder="1" applyAlignment="1">
      <alignment horizontal="center"/>
    </xf>
    <xf numFmtId="0" fontId="10" fillId="5" borderId="4" xfId="0" applyFont="1" applyFill="1" applyBorder="1"/>
    <xf numFmtId="0" fontId="10" fillId="5" borderId="3" xfId="0" applyFont="1" applyFill="1" applyBorder="1"/>
    <xf numFmtId="0" fontId="10" fillId="5" borderId="3" xfId="0" quotePrefix="1" applyFont="1" applyFill="1" applyBorder="1" applyAlignment="1" applyProtection="1">
      <alignment horizontal="center"/>
    </xf>
    <xf numFmtId="9" fontId="10" fillId="5" borderId="0" xfId="0" applyNumberFormat="1" applyFont="1" applyFill="1" applyBorder="1" applyProtection="1"/>
    <xf numFmtId="0" fontId="16" fillId="0" borderId="3" xfId="0" applyFont="1" applyBorder="1"/>
    <xf numFmtId="0" fontId="17" fillId="0" borderId="0" xfId="1" applyFont="1" applyAlignment="1" applyProtection="1">
      <alignment horizontal="center"/>
    </xf>
    <xf numFmtId="0" fontId="10" fillId="5" borderId="0" xfId="0" quotePrefix="1" applyFont="1" applyFill="1" applyBorder="1" applyAlignment="1" applyProtection="1">
      <alignment horizontal="center"/>
    </xf>
    <xf numFmtId="0" fontId="10" fillId="5" borderId="0" xfId="3" applyFont="1" applyFill="1" applyBorder="1"/>
    <xf numFmtId="167" fontId="10" fillId="5" borderId="0" xfId="3" applyNumberFormat="1" applyFont="1" applyFill="1" applyBorder="1" applyProtection="1"/>
    <xf numFmtId="0" fontId="9" fillId="0" borderId="0" xfId="0" applyFont="1" applyProtection="1"/>
    <xf numFmtId="167" fontId="9" fillId="0" borderId="0" xfId="0" applyNumberFormat="1" applyFont="1" applyAlignment="1" applyProtection="1">
      <alignment horizontal="right"/>
    </xf>
    <xf numFmtId="167" fontId="9" fillId="0" borderId="0" xfId="0" applyNumberFormat="1" applyFont="1" applyProtection="1"/>
    <xf numFmtId="0" fontId="9" fillId="0" borderId="0" xfId="0" applyFont="1" applyAlignment="1" applyProtection="1">
      <alignment horizontal="right"/>
    </xf>
    <xf numFmtId="166" fontId="9" fillId="0" borderId="0" xfId="0" applyNumberFormat="1" applyFont="1" applyAlignment="1" applyProtection="1">
      <alignment horizontal="right"/>
    </xf>
    <xf numFmtId="0" fontId="18" fillId="4" borderId="3" xfId="0" applyFont="1" applyFill="1" applyBorder="1" applyAlignment="1" applyProtection="1">
      <alignment horizontal="left"/>
    </xf>
    <xf numFmtId="167" fontId="18" fillId="2" borderId="2" xfId="0" applyNumberFormat="1" applyFont="1" applyFill="1" applyBorder="1" applyProtection="1"/>
    <xf numFmtId="171" fontId="13" fillId="3" borderId="7" xfId="0" applyNumberFormat="1" applyFont="1" applyFill="1" applyBorder="1" applyAlignment="1" applyProtection="1">
      <alignment horizontal="center"/>
      <protection locked="0"/>
    </xf>
  </cellXfs>
  <cellStyles count="5">
    <cellStyle name="Hyperlink" xfId="1" builtinId="8"/>
    <cellStyle name="Hyperlink 2" xfId="4" xr:uid="{23E6FF11-A4E2-45E5-A23F-B25AAF40AE42}"/>
    <cellStyle name="Normal" xfId="0" builtinId="0"/>
    <cellStyle name="Normal_Oats" xfId="3" xr:uid="{00000000-0005-0000-0000-000002000000}"/>
    <cellStyle name="Normal_Raspc2" xfId="2" xr:uid="{00000000-0005-0000-0000-000003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551028</xdr:colOff>
      <xdr:row>2</xdr:row>
      <xdr:rowOff>217668</xdr:rowOff>
    </xdr:to>
    <xdr:pic>
      <xdr:nvPicPr>
        <xdr:cNvPr id="3" name="Picture 2" descr="This is the Ontario Trillium logo">
          <a:extLst>
            <a:ext uri="{FF2B5EF4-FFF2-40B4-BE49-F238E27FC236}">
              <a16:creationId xmlns:a16="http://schemas.microsoft.com/office/drawing/2014/main" id="{2BB70A9A-88D4-4D6D-BA20-44301290A81F}"/>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0"/>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B301"/>
  <sheetViews>
    <sheetView showGridLines="0" tabSelected="1" workbookViewId="0">
      <selection activeCell="A3" sqref="A3"/>
    </sheetView>
  </sheetViews>
  <sheetFormatPr defaultColWidth="9.58203125" defaultRowHeight="15.45" x14ac:dyDescent="0.4"/>
  <cols>
    <col min="1" max="1" width="16.08203125" style="25" customWidth="1"/>
    <col min="2" max="2" width="9.58203125" style="25"/>
    <col min="3" max="3" width="20.75" style="25" customWidth="1"/>
    <col min="4" max="4" width="17.08203125" style="25" customWidth="1"/>
    <col min="5" max="7" width="15.83203125" style="25" customWidth="1"/>
    <col min="8" max="8" width="19.4140625" style="26" customWidth="1"/>
    <col min="9" max="9" width="19.5" style="7" hidden="1" customWidth="1"/>
    <col min="10" max="10" width="9.58203125" style="7" hidden="1" customWidth="1"/>
    <col min="11" max="11" width="12" style="7" hidden="1" customWidth="1"/>
    <col min="12" max="12" width="12.75" style="7" hidden="1" customWidth="1"/>
    <col min="13" max="13" width="11.5" style="7" hidden="1" customWidth="1"/>
    <col min="14" max="14" width="9.58203125" style="7" hidden="1" customWidth="1"/>
    <col min="15" max="15" width="11.83203125" style="7" hidden="1" customWidth="1"/>
    <col min="16" max="18" width="9.58203125" style="7" hidden="1" customWidth="1"/>
    <col min="19" max="19" width="7.58203125" style="7" hidden="1" customWidth="1"/>
    <col min="20" max="20" width="2.58203125" style="7" hidden="1" customWidth="1"/>
    <col min="21" max="21" width="16.58203125" style="7" hidden="1" customWidth="1"/>
    <col min="22" max="28" width="9.58203125" style="7" hidden="1" customWidth="1"/>
    <col min="29" max="39" width="9.58203125" style="7" customWidth="1"/>
    <col min="40" max="40" width="9.58203125" style="7"/>
    <col min="41" max="41" width="11.58203125" style="7" customWidth="1"/>
    <col min="42" max="49" width="7.58203125" style="7" customWidth="1"/>
    <col min="50" max="50" width="5.58203125" style="7" customWidth="1"/>
    <col min="51" max="240" width="9.58203125" style="7"/>
    <col min="241" max="241" width="7.58203125" style="7" customWidth="1"/>
    <col min="242" max="242" width="2.58203125" style="7" customWidth="1"/>
    <col min="243" max="249" width="9.58203125" style="7"/>
    <col min="250" max="250" width="7.58203125" style="7" customWidth="1"/>
    <col min="251" max="251" width="2.58203125" style="7" customWidth="1"/>
    <col min="252" max="16384" width="9.58203125" style="7"/>
  </cols>
  <sheetData>
    <row r="1" spans="1:11" x14ac:dyDescent="0.4">
      <c r="A1" s="17" t="s">
        <v>188</v>
      </c>
    </row>
    <row r="2" spans="1:11" ht="15.75" customHeight="1" x14ac:dyDescent="0.4">
      <c r="A2" s="27"/>
      <c r="B2" s="28"/>
      <c r="C2" s="29" t="s">
        <v>190</v>
      </c>
      <c r="D2" s="28"/>
      <c r="E2" s="28"/>
      <c r="F2" s="28"/>
      <c r="G2" s="29" t="s">
        <v>191</v>
      </c>
      <c r="H2" s="30"/>
      <c r="I2" s="2"/>
      <c r="J2" s="2"/>
      <c r="K2" s="2"/>
    </row>
    <row r="3" spans="1:11" ht="33" customHeight="1" x14ac:dyDescent="0.4">
      <c r="A3" s="31">
        <v>202</v>
      </c>
      <c r="B3" s="32"/>
      <c r="C3" s="32"/>
      <c r="D3" s="32"/>
      <c r="E3" s="32"/>
      <c r="F3" s="33" t="str">
        <f>IF(D26="N","Profit / porcelet sev. :",IF(D26="Y","Profit / kg:","INCORRECT"))</f>
        <v>Profit / porcelet sev. :</v>
      </c>
      <c r="G3" s="34"/>
      <c r="H3" s="35">
        <f ca="1">E121</f>
        <v>2.0825016118633268</v>
      </c>
      <c r="I3" s="2"/>
      <c r="J3" s="2"/>
      <c r="K3" s="2"/>
    </row>
    <row r="4" spans="1:11" x14ac:dyDescent="0.4">
      <c r="A4" s="178" t="s">
        <v>53</v>
      </c>
      <c r="B4" s="36"/>
      <c r="C4" s="36"/>
      <c r="D4" s="36"/>
      <c r="E4" s="36"/>
      <c r="F4" s="37"/>
      <c r="G4" s="38"/>
      <c r="H4" s="39"/>
      <c r="I4" s="2"/>
      <c r="J4" s="2"/>
      <c r="K4" s="2"/>
    </row>
    <row r="5" spans="1:11" x14ac:dyDescent="0.4">
      <c r="A5" s="27" t="s">
        <v>54</v>
      </c>
      <c r="B5" s="28"/>
      <c r="C5" s="28"/>
      <c r="D5" s="40">
        <v>300</v>
      </c>
      <c r="E5" s="28"/>
      <c r="F5" s="28"/>
      <c r="G5" s="41" t="s">
        <v>0</v>
      </c>
      <c r="H5" s="30"/>
      <c r="I5" s="2"/>
      <c r="J5" s="2"/>
      <c r="K5" s="2"/>
    </row>
    <row r="6" spans="1:11" x14ac:dyDescent="0.4">
      <c r="A6" s="42" t="s">
        <v>59</v>
      </c>
      <c r="B6" s="43"/>
      <c r="C6" s="44"/>
      <c r="D6" s="40">
        <v>0</v>
      </c>
      <c r="E6" s="44"/>
      <c r="F6" s="44"/>
      <c r="G6" s="44"/>
      <c r="H6" s="45"/>
      <c r="I6" s="2"/>
      <c r="J6" s="2"/>
      <c r="K6" s="2"/>
    </row>
    <row r="7" spans="1:11" x14ac:dyDescent="0.4">
      <c r="A7" s="42" t="s">
        <v>60</v>
      </c>
      <c r="B7" s="43"/>
      <c r="C7" s="43"/>
      <c r="D7" s="40">
        <f>D5*2.35</f>
        <v>705</v>
      </c>
      <c r="E7" s="46" t="s">
        <v>67</v>
      </c>
      <c r="F7" s="44"/>
      <c r="G7" s="44"/>
      <c r="H7" s="47">
        <f>D7/D5</f>
        <v>2.35</v>
      </c>
      <c r="I7" s="2"/>
      <c r="J7" s="2"/>
      <c r="K7" s="2"/>
    </row>
    <row r="8" spans="1:11" x14ac:dyDescent="0.4">
      <c r="A8" s="42" t="s">
        <v>61</v>
      </c>
      <c r="B8" s="43"/>
      <c r="C8" s="43"/>
      <c r="D8" s="40">
        <v>21</v>
      </c>
      <c r="E8" s="46" t="s">
        <v>179</v>
      </c>
      <c r="F8" s="44"/>
      <c r="G8" s="44"/>
      <c r="H8" s="48">
        <f>(D7/D5)*((D8+D10+114)/365)*100</f>
        <v>91.424657534246577</v>
      </c>
      <c r="I8" s="2"/>
      <c r="J8" s="2"/>
      <c r="K8" s="2"/>
    </row>
    <row r="9" spans="1:11" x14ac:dyDescent="0.4">
      <c r="A9" s="42" t="s">
        <v>62</v>
      </c>
      <c r="B9" s="43"/>
      <c r="C9" s="49"/>
      <c r="D9" s="40">
        <v>28</v>
      </c>
      <c r="E9" s="46" t="s">
        <v>78</v>
      </c>
      <c r="F9" s="44"/>
      <c r="G9" s="44"/>
      <c r="H9" s="50">
        <f>D7/52</f>
        <v>13.557692307692308</v>
      </c>
      <c r="I9" s="2"/>
      <c r="J9" s="2"/>
      <c r="K9" s="2"/>
    </row>
    <row r="10" spans="1:11" x14ac:dyDescent="0.4">
      <c r="A10" s="42" t="s">
        <v>63</v>
      </c>
      <c r="B10" s="43"/>
      <c r="C10" s="49"/>
      <c r="D10" s="40">
        <v>7</v>
      </c>
      <c r="E10" s="46" t="s">
        <v>79</v>
      </c>
      <c r="F10" s="44"/>
      <c r="G10" s="44"/>
      <c r="H10" s="50">
        <f>D7*D9/365</f>
        <v>54.082191780821915</v>
      </c>
      <c r="I10" s="2"/>
      <c r="J10" s="2"/>
      <c r="K10" s="2"/>
    </row>
    <row r="11" spans="1:11" x14ac:dyDescent="0.4">
      <c r="A11" s="42" t="s">
        <v>64</v>
      </c>
      <c r="B11" s="43"/>
      <c r="C11" s="43"/>
      <c r="D11" s="40">
        <v>12.5</v>
      </c>
      <c r="E11" s="43"/>
      <c r="F11" s="44"/>
      <c r="G11" s="43"/>
      <c r="H11" s="50"/>
      <c r="I11" s="2"/>
      <c r="J11" s="2"/>
      <c r="K11" s="2"/>
    </row>
    <row r="12" spans="1:11" x14ac:dyDescent="0.4">
      <c r="A12" s="51"/>
      <c r="B12" s="43"/>
      <c r="C12" s="43"/>
      <c r="D12" s="49"/>
      <c r="E12" s="46" t="s">
        <v>165</v>
      </c>
      <c r="F12" s="52"/>
      <c r="G12" s="52"/>
      <c r="H12" s="50">
        <f>D11*D13/100</f>
        <v>11</v>
      </c>
      <c r="I12" s="2"/>
      <c r="J12" s="2"/>
      <c r="K12" s="2"/>
    </row>
    <row r="13" spans="1:11" x14ac:dyDescent="0.4">
      <c r="A13" s="42" t="s">
        <v>65</v>
      </c>
      <c r="B13" s="43"/>
      <c r="C13" s="43"/>
      <c r="D13" s="40">
        <v>88</v>
      </c>
      <c r="E13" s="46" t="s">
        <v>167</v>
      </c>
      <c r="F13" s="43"/>
      <c r="G13" s="43"/>
      <c r="H13" s="48">
        <f>H12*D7</f>
        <v>7755</v>
      </c>
      <c r="I13" s="2"/>
      <c r="J13" s="2"/>
      <c r="K13" s="2"/>
    </row>
    <row r="14" spans="1:11" x14ac:dyDescent="0.4">
      <c r="A14" s="42" t="s">
        <v>66</v>
      </c>
      <c r="B14" s="43"/>
      <c r="C14" s="43"/>
      <c r="D14" s="40">
        <v>5</v>
      </c>
      <c r="E14" s="46" t="s">
        <v>168</v>
      </c>
      <c r="F14" s="52"/>
      <c r="G14" s="52"/>
      <c r="H14" s="50">
        <f>H13/H10</f>
        <v>143.39285714285714</v>
      </c>
      <c r="I14" s="2"/>
      <c r="J14" s="2"/>
      <c r="K14" s="2"/>
    </row>
    <row r="15" spans="1:11" x14ac:dyDescent="0.4">
      <c r="A15" s="42"/>
      <c r="B15" s="43"/>
      <c r="C15" s="43"/>
      <c r="D15" s="53"/>
      <c r="E15" s="46" t="s">
        <v>169</v>
      </c>
      <c r="F15" s="52"/>
      <c r="G15" s="52"/>
      <c r="H15" s="48">
        <f>H13*D14</f>
        <v>38775</v>
      </c>
      <c r="I15" s="2"/>
      <c r="J15" s="2"/>
      <c r="K15" s="4">
        <v>0</v>
      </c>
    </row>
    <row r="16" spans="1:11" x14ac:dyDescent="0.4">
      <c r="A16" s="54"/>
      <c r="B16" s="43"/>
      <c r="C16" s="43"/>
      <c r="D16" s="44"/>
      <c r="E16" s="46"/>
      <c r="F16" s="52"/>
      <c r="G16" s="52"/>
      <c r="H16" s="48"/>
      <c r="I16" s="2"/>
      <c r="J16" s="2"/>
      <c r="K16" s="5">
        <f ca="1">H103</f>
        <v>347884.59999999992</v>
      </c>
    </row>
    <row r="17" spans="1:11" x14ac:dyDescent="0.4">
      <c r="A17" s="42" t="s">
        <v>162</v>
      </c>
      <c r="B17" s="43"/>
      <c r="C17" s="55"/>
      <c r="D17" s="44"/>
      <c r="E17" s="46" t="s">
        <v>177</v>
      </c>
      <c r="F17" s="56"/>
      <c r="G17" s="56"/>
      <c r="H17" s="47"/>
      <c r="I17" s="2"/>
      <c r="J17" s="2"/>
      <c r="K17" s="5">
        <f>H112</f>
        <v>76852.049999999988</v>
      </c>
    </row>
    <row r="18" spans="1:11" x14ac:dyDescent="0.4">
      <c r="A18" s="42" t="s">
        <v>72</v>
      </c>
      <c r="B18" s="43"/>
      <c r="C18" s="55"/>
      <c r="D18" s="40">
        <v>1.726</v>
      </c>
      <c r="E18" s="46" t="s">
        <v>70</v>
      </c>
      <c r="F18" s="56"/>
      <c r="G18" s="56"/>
      <c r="H18" s="47">
        <f>D5*D18*(365-((D8+D10)*H7))/1000</f>
        <v>154.92575999999997</v>
      </c>
      <c r="I18" s="2"/>
      <c r="J18" s="2"/>
      <c r="K18" s="5">
        <f>H43</f>
        <v>440886.45</v>
      </c>
    </row>
    <row r="19" spans="1:11" x14ac:dyDescent="0.4">
      <c r="A19" s="42" t="s">
        <v>73</v>
      </c>
      <c r="B19" s="43"/>
      <c r="C19" s="55"/>
      <c r="D19" s="40">
        <v>4.0999999999999996</v>
      </c>
      <c r="E19" s="46" t="s">
        <v>74</v>
      </c>
      <c r="F19" s="56"/>
      <c r="G19" s="56"/>
      <c r="H19" s="47">
        <f>D19*((D8+D10)*H7)*D5/1000</f>
        <v>80.933999999999983</v>
      </c>
      <c r="I19" s="2">
        <f>D19*(D8+D10)</f>
        <v>114.79999999999998</v>
      </c>
      <c r="J19" s="2"/>
      <c r="K19" s="3">
        <f>I150</f>
        <v>129613.57975269413</v>
      </c>
    </row>
    <row r="20" spans="1:11" x14ac:dyDescent="0.4">
      <c r="A20" s="42" t="s">
        <v>80</v>
      </c>
      <c r="B20" s="43"/>
      <c r="C20" s="49"/>
      <c r="D20" s="40">
        <v>2.5</v>
      </c>
      <c r="E20" s="46" t="s">
        <v>81</v>
      </c>
      <c r="F20" s="43"/>
      <c r="G20" s="43"/>
      <c r="H20" s="47">
        <f>D20*365*D6/1000</f>
        <v>0</v>
      </c>
      <c r="I20" s="2"/>
      <c r="J20" s="2"/>
      <c r="K20" s="2"/>
    </row>
    <row r="21" spans="1:11" ht="18" customHeight="1" x14ac:dyDescent="0.4">
      <c r="A21" s="42" t="s">
        <v>163</v>
      </c>
      <c r="B21" s="43"/>
      <c r="C21" s="49"/>
      <c r="D21" s="40">
        <v>0</v>
      </c>
      <c r="E21" s="57" t="s">
        <v>180</v>
      </c>
      <c r="F21" s="43"/>
      <c r="G21" s="43"/>
      <c r="H21" s="47">
        <f>D21*H13/1000</f>
        <v>0</v>
      </c>
      <c r="I21" s="2"/>
      <c r="J21" s="2"/>
      <c r="K21" s="1" t="s">
        <v>35</v>
      </c>
    </row>
    <row r="22" spans="1:11" hidden="1" x14ac:dyDescent="0.4">
      <c r="A22" s="58" t="s">
        <v>1</v>
      </c>
      <c r="B22" s="59"/>
      <c r="C22" s="60"/>
      <c r="D22" s="59"/>
      <c r="E22" s="59"/>
      <c r="F22" s="61"/>
      <c r="G22" s="59"/>
      <c r="H22" s="62"/>
      <c r="I22" s="2"/>
      <c r="J22" s="2"/>
      <c r="K22" s="1" t="s">
        <v>34</v>
      </c>
    </row>
    <row r="23" spans="1:11" hidden="1" x14ac:dyDescent="0.4">
      <c r="A23" s="58" t="s">
        <v>2</v>
      </c>
      <c r="B23" s="59"/>
      <c r="C23" s="60"/>
      <c r="D23" s="59"/>
      <c r="E23" s="63"/>
      <c r="F23" s="59"/>
      <c r="G23" s="64"/>
      <c r="H23" s="65"/>
      <c r="I23" s="2"/>
      <c r="J23" s="2"/>
      <c r="K23" s="5">
        <f>H13</f>
        <v>7755</v>
      </c>
    </row>
    <row r="24" spans="1:11" hidden="1" x14ac:dyDescent="0.4">
      <c r="A24" s="58"/>
      <c r="B24" s="59"/>
      <c r="C24" s="61"/>
      <c r="D24" s="59"/>
      <c r="E24" s="63"/>
      <c r="F24" s="66"/>
      <c r="G24" s="64"/>
      <c r="H24" s="65"/>
      <c r="I24" s="2"/>
      <c r="J24" s="2"/>
      <c r="K24" s="5">
        <f>SUM(H75:H77)</f>
        <v>47426.399999999994</v>
      </c>
    </row>
    <row r="25" spans="1:11" hidden="1" x14ac:dyDescent="0.4">
      <c r="A25" s="58" t="s">
        <v>170</v>
      </c>
      <c r="B25" s="59"/>
      <c r="C25" s="61"/>
      <c r="D25" s="67" t="s">
        <v>3</v>
      </c>
      <c r="E25" s="66"/>
      <c r="F25" s="66"/>
      <c r="G25" s="64"/>
      <c r="H25" s="65"/>
      <c r="I25" s="2"/>
      <c r="J25" s="2"/>
      <c r="K25" s="5">
        <f>SUM(H53:H61)</f>
        <v>154944.9</v>
      </c>
    </row>
    <row r="26" spans="1:11" hidden="1" x14ac:dyDescent="0.4">
      <c r="A26" s="58" t="s">
        <v>171</v>
      </c>
      <c r="B26" s="59"/>
      <c r="C26" s="59"/>
      <c r="D26" s="68" t="str">
        <f>IF(UPPER(D25)="Y","N",IF(UPPER(D25)="N","Y","INCORRECT"))</f>
        <v>N</v>
      </c>
      <c r="E26" s="59"/>
      <c r="F26" s="66"/>
      <c r="G26" s="59"/>
      <c r="H26" s="62"/>
      <c r="I26" s="2"/>
      <c r="J26" s="2"/>
      <c r="K26" s="5">
        <f>H82+H83</f>
        <v>32648.55</v>
      </c>
    </row>
    <row r="27" spans="1:11" x14ac:dyDescent="0.4">
      <c r="A27" s="69"/>
      <c r="B27" s="70"/>
      <c r="C27" s="71"/>
      <c r="D27" s="70"/>
      <c r="E27" s="70"/>
      <c r="F27" s="71"/>
      <c r="G27" s="72"/>
      <c r="H27" s="73"/>
      <c r="I27" s="2"/>
      <c r="J27" s="2"/>
      <c r="K27" s="5">
        <f>SUM(H81,H84,H87,H90)</f>
        <v>75223.5</v>
      </c>
    </row>
    <row r="28" spans="1:11" x14ac:dyDescent="0.4">
      <c r="A28" s="27" t="s">
        <v>178</v>
      </c>
      <c r="B28" s="28"/>
      <c r="C28" s="28"/>
      <c r="D28" s="28"/>
      <c r="E28" s="29" t="s">
        <v>83</v>
      </c>
      <c r="F28" s="29" t="s">
        <v>84</v>
      </c>
      <c r="G28" s="29" t="s">
        <v>85</v>
      </c>
      <c r="H28" s="30"/>
      <c r="I28" s="6"/>
      <c r="J28" s="2"/>
      <c r="K28" s="5">
        <f>H85+H86</f>
        <v>9693.75</v>
      </c>
    </row>
    <row r="29" spans="1:11" x14ac:dyDescent="0.4">
      <c r="A29" s="42" t="s">
        <v>172</v>
      </c>
      <c r="B29" s="43"/>
      <c r="C29" s="74" t="s">
        <v>160</v>
      </c>
      <c r="D29" s="43"/>
      <c r="E29" s="75">
        <v>55</v>
      </c>
      <c r="F29" s="75">
        <v>52.79</v>
      </c>
      <c r="G29" s="75">
        <v>33</v>
      </c>
      <c r="H29" s="76"/>
      <c r="I29" s="2"/>
      <c r="J29" s="2"/>
      <c r="K29" s="5">
        <f>H88+H89</f>
        <v>0</v>
      </c>
    </row>
    <row r="30" spans="1:11" x14ac:dyDescent="0.4">
      <c r="A30" s="42" t="s">
        <v>76</v>
      </c>
      <c r="B30" s="43"/>
      <c r="C30" s="46" t="s">
        <v>55</v>
      </c>
      <c r="D30" s="43"/>
      <c r="E30" s="40">
        <v>300</v>
      </c>
      <c r="F30" s="40">
        <v>300</v>
      </c>
      <c r="G30" s="40">
        <v>110</v>
      </c>
      <c r="H30" s="77"/>
      <c r="I30" s="2"/>
      <c r="J30" s="2"/>
      <c r="K30" s="2"/>
    </row>
    <row r="31" spans="1:11" x14ac:dyDescent="0.4">
      <c r="A31" s="42" t="s">
        <v>82</v>
      </c>
      <c r="B31" s="43"/>
      <c r="C31" s="46" t="s">
        <v>57</v>
      </c>
      <c r="D31" s="43"/>
      <c r="E31" s="40">
        <v>250</v>
      </c>
      <c r="F31" s="40">
        <v>200</v>
      </c>
      <c r="G31" s="40">
        <v>140</v>
      </c>
      <c r="H31" s="77"/>
      <c r="I31" s="2"/>
      <c r="J31" s="2"/>
      <c r="K31" s="2"/>
    </row>
    <row r="32" spans="1:11" x14ac:dyDescent="0.4">
      <c r="A32" s="42" t="s">
        <v>161</v>
      </c>
      <c r="B32" s="43"/>
      <c r="C32" s="78"/>
      <c r="D32" s="43"/>
      <c r="E32" s="40">
        <v>7910</v>
      </c>
      <c r="F32" s="79">
        <f>H13</f>
        <v>7755</v>
      </c>
      <c r="G32" s="40">
        <v>6204</v>
      </c>
      <c r="H32" s="80"/>
      <c r="I32" s="2"/>
      <c r="J32" s="2"/>
      <c r="K32" s="2"/>
    </row>
    <row r="33" spans="1:11" x14ac:dyDescent="0.4">
      <c r="A33" s="51"/>
      <c r="B33" s="43"/>
      <c r="C33" s="43"/>
      <c r="D33" s="44"/>
      <c r="E33" s="44"/>
      <c r="F33" s="43"/>
      <c r="G33" s="44"/>
      <c r="H33" s="80"/>
      <c r="I33" s="2"/>
      <c r="J33" s="2"/>
      <c r="K33" s="2"/>
    </row>
    <row r="34" spans="1:11" x14ac:dyDescent="0.4">
      <c r="A34" s="42" t="s">
        <v>86</v>
      </c>
      <c r="B34" s="43"/>
      <c r="C34" s="43"/>
      <c r="D34" s="43"/>
      <c r="E34" s="43"/>
      <c r="F34" s="81">
        <v>20</v>
      </c>
      <c r="G34" s="46" t="s">
        <v>87</v>
      </c>
      <c r="H34" s="80"/>
      <c r="I34" s="2"/>
      <c r="J34" s="2"/>
      <c r="K34" s="2"/>
    </row>
    <row r="35" spans="1:11" x14ac:dyDescent="0.4">
      <c r="A35" s="82"/>
      <c r="B35" s="70"/>
      <c r="C35" s="71"/>
      <c r="D35" s="72"/>
      <c r="E35" s="83"/>
      <c r="F35" s="71"/>
      <c r="G35" s="84"/>
      <c r="H35" s="85"/>
      <c r="I35" s="2"/>
      <c r="J35" s="2"/>
      <c r="K35" s="2"/>
    </row>
    <row r="36" spans="1:11" x14ac:dyDescent="0.4">
      <c r="A36" s="86" t="s">
        <v>89</v>
      </c>
      <c r="B36" s="87"/>
      <c r="C36" s="28"/>
      <c r="D36" s="88"/>
      <c r="E36" s="89" t="s">
        <v>88</v>
      </c>
      <c r="F36" s="90"/>
      <c r="G36" s="89" t="s">
        <v>94</v>
      </c>
      <c r="H36" s="91" t="s">
        <v>95</v>
      </c>
      <c r="I36" s="6"/>
      <c r="J36" s="2"/>
      <c r="K36" s="2"/>
    </row>
    <row r="37" spans="1:11" x14ac:dyDescent="0.4">
      <c r="A37" s="42" t="s">
        <v>96</v>
      </c>
      <c r="B37" s="44"/>
      <c r="C37" s="43"/>
      <c r="D37" s="92" t="s">
        <v>92</v>
      </c>
      <c r="E37" s="92" t="s">
        <v>93</v>
      </c>
      <c r="F37" s="93"/>
      <c r="G37" s="92" t="str">
        <f>G50</f>
        <v>/porcelet sev.</v>
      </c>
      <c r="H37" s="76" t="s">
        <v>68</v>
      </c>
      <c r="I37" s="3"/>
      <c r="J37" s="2"/>
      <c r="K37" s="3"/>
    </row>
    <row r="38" spans="1:11" x14ac:dyDescent="0.4">
      <c r="A38" s="42" t="s">
        <v>164</v>
      </c>
      <c r="B38" s="43"/>
      <c r="C38" s="43"/>
      <c r="D38" s="49">
        <f>H13</f>
        <v>7755</v>
      </c>
      <c r="E38" s="52">
        <f>F29</f>
        <v>52.79</v>
      </c>
      <c r="F38" s="74" t="s">
        <v>160</v>
      </c>
      <c r="G38" s="52">
        <f>H38/G52</f>
        <v>52.79</v>
      </c>
      <c r="H38" s="48">
        <f>D38*E38</f>
        <v>409386.45</v>
      </c>
      <c r="I38" s="3"/>
      <c r="J38" s="3"/>
      <c r="K38" s="3"/>
    </row>
    <row r="39" spans="1:11" x14ac:dyDescent="0.4">
      <c r="A39" s="42" t="s">
        <v>77</v>
      </c>
      <c r="B39" s="44"/>
      <c r="C39" s="43"/>
      <c r="D39" s="94">
        <v>105</v>
      </c>
      <c r="E39" s="44">
        <f>F30</f>
        <v>300</v>
      </c>
      <c r="F39" s="74" t="s">
        <v>97</v>
      </c>
      <c r="G39" s="52">
        <f>H39/G52</f>
        <v>4.061895551257253</v>
      </c>
      <c r="H39" s="48">
        <f>D39*E39</f>
        <v>31500</v>
      </c>
      <c r="I39" s="3"/>
      <c r="J39" s="3"/>
      <c r="K39" s="3"/>
    </row>
    <row r="40" spans="1:11" x14ac:dyDescent="0.4">
      <c r="A40" s="42" t="s">
        <v>90</v>
      </c>
      <c r="B40" s="44"/>
      <c r="C40" s="43"/>
      <c r="D40" s="94">
        <v>0</v>
      </c>
      <c r="E40" s="44">
        <f>F31</f>
        <v>200</v>
      </c>
      <c r="F40" s="74" t="s">
        <v>97</v>
      </c>
      <c r="G40" s="52">
        <f>H40/G52</f>
        <v>0</v>
      </c>
      <c r="H40" s="48">
        <f>D40*E40</f>
        <v>0</v>
      </c>
      <c r="I40" s="6"/>
      <c r="J40" s="3"/>
      <c r="K40" s="3"/>
    </row>
    <row r="41" spans="1:11" x14ac:dyDescent="0.4">
      <c r="A41" s="42" t="s">
        <v>91</v>
      </c>
      <c r="B41" s="44"/>
      <c r="C41" s="95"/>
      <c r="D41" s="52"/>
      <c r="E41" s="49"/>
      <c r="F41" s="43"/>
      <c r="G41" s="52">
        <f>H41/G52</f>
        <v>0</v>
      </c>
      <c r="H41" s="96">
        <v>0</v>
      </c>
      <c r="I41" s="3"/>
      <c r="J41" s="3"/>
      <c r="K41" s="3"/>
    </row>
    <row r="42" spans="1:11" x14ac:dyDescent="0.4">
      <c r="A42" s="97" t="s">
        <v>4</v>
      </c>
      <c r="B42" s="98" t="s">
        <v>4</v>
      </c>
      <c r="C42" s="46" t="s">
        <v>5</v>
      </c>
      <c r="D42" s="98" t="s">
        <v>4</v>
      </c>
      <c r="E42" s="49"/>
      <c r="F42" s="52"/>
      <c r="G42" s="98" t="s">
        <v>4</v>
      </c>
      <c r="H42" s="76" t="s">
        <v>6</v>
      </c>
      <c r="I42" s="3"/>
      <c r="J42" s="3"/>
      <c r="K42" s="3"/>
    </row>
    <row r="43" spans="1:11" x14ac:dyDescent="0.4">
      <c r="A43" s="99"/>
      <c r="B43" s="100" t="s">
        <v>98</v>
      </c>
      <c r="C43" s="32"/>
      <c r="D43" s="101">
        <f>D38+D39+D40</f>
        <v>7860</v>
      </c>
      <c r="E43" s="101"/>
      <c r="F43" s="102"/>
      <c r="G43" s="102">
        <f>SUM(G38:G41)</f>
        <v>56.85189555125725</v>
      </c>
      <c r="H43" s="103">
        <f>SUM(H38:H41)</f>
        <v>440886.45</v>
      </c>
      <c r="I43" s="2"/>
      <c r="J43" s="2"/>
      <c r="K43" s="2"/>
    </row>
    <row r="44" spans="1:11" hidden="1" x14ac:dyDescent="0.4">
      <c r="A44" s="104"/>
      <c r="B44" s="105"/>
      <c r="C44" s="105"/>
      <c r="D44" s="105"/>
      <c r="E44" s="105"/>
      <c r="F44" s="105"/>
      <c r="G44" s="105"/>
      <c r="H44" s="106"/>
      <c r="I44" s="6"/>
      <c r="J44" s="2"/>
      <c r="K44" s="2"/>
    </row>
    <row r="45" spans="1:11" hidden="1" x14ac:dyDescent="0.4">
      <c r="A45" s="107" t="str">
        <f>IF(D25="Y","Nombre de Feeders",(IF(D25="N","Kilograms of Pork",#VALUE!)))&amp;" to Base Frais variables on ==&gt; **"</f>
        <v>Nombre de Feeders to Base Frais variables on ==&gt; **</v>
      </c>
      <c r="B45" s="59"/>
      <c r="C45" s="59"/>
      <c r="D45" s="64"/>
      <c r="E45" s="63"/>
      <c r="F45" s="59"/>
      <c r="G45" s="108">
        <f>F32</f>
        <v>7755</v>
      </c>
      <c r="H45" s="109" t="s">
        <v>7</v>
      </c>
      <c r="I45" s="6"/>
      <c r="J45" s="2"/>
      <c r="K45" s="2"/>
    </row>
    <row r="46" spans="1:11" hidden="1" x14ac:dyDescent="0.4">
      <c r="A46" s="58" t="s">
        <v>101</v>
      </c>
      <c r="B46" s="59"/>
      <c r="C46" s="59"/>
      <c r="D46" s="63"/>
      <c r="E46" s="59"/>
      <c r="F46" s="59"/>
      <c r="G46" s="110" t="str">
        <f>IF(UPPER(LEFT(H45,1))=UPPER(LEFT(E64,1)),"","Choose Pigs or Kg")</f>
        <v/>
      </c>
      <c r="H46" s="65"/>
      <c r="I46" s="6"/>
      <c r="J46" s="2"/>
      <c r="K46" s="3"/>
    </row>
    <row r="47" spans="1:11" x14ac:dyDescent="0.4">
      <c r="A47" s="111"/>
      <c r="B47" s="112"/>
      <c r="C47" s="113"/>
      <c r="D47" s="114"/>
      <c r="E47" s="115"/>
      <c r="F47" s="113"/>
      <c r="G47" s="113"/>
      <c r="H47" s="116"/>
      <c r="I47" s="6"/>
      <c r="J47" s="2"/>
      <c r="K47" s="2"/>
    </row>
    <row r="48" spans="1:11" x14ac:dyDescent="0.4">
      <c r="A48" s="27" t="s">
        <v>99</v>
      </c>
      <c r="B48" s="117"/>
      <c r="C48" s="118"/>
      <c r="D48" s="179" t="s">
        <v>173</v>
      </c>
      <c r="E48" s="119"/>
      <c r="F48" s="118"/>
      <c r="G48" s="118"/>
      <c r="H48" s="120"/>
      <c r="I48" s="6"/>
      <c r="J48" s="2"/>
      <c r="K48" s="2"/>
    </row>
    <row r="49" spans="1:11" x14ac:dyDescent="0.4">
      <c r="A49" s="42"/>
      <c r="B49" s="43"/>
      <c r="C49" s="43"/>
      <c r="D49" s="92" t="s">
        <v>100</v>
      </c>
      <c r="E49" s="92" t="s">
        <v>69</v>
      </c>
      <c r="F49" s="52"/>
      <c r="G49" s="52"/>
      <c r="H49" s="76" t="s">
        <v>69</v>
      </c>
      <c r="I49" s="2"/>
      <c r="J49" s="2"/>
      <c r="K49" s="2"/>
    </row>
    <row r="50" spans="1:11" x14ac:dyDescent="0.4">
      <c r="A50" s="54"/>
      <c r="B50" s="43"/>
      <c r="C50" s="43"/>
      <c r="D50" s="92" t="str">
        <f>"/"&amp;IF(D25="Y","porcelet sev.",(IF(D25="N","Kg Pork",#VALUE!)))</f>
        <v>/porcelet sev.</v>
      </c>
      <c r="E50" s="92" t="str">
        <f>""&amp;FIXED(G45,0,TRUE)&amp;IF(D25="Y"," porcs",(IF(D25="N"," Kg",#VALUE!)))</f>
        <v>7755 porcs</v>
      </c>
      <c r="F50" s="52"/>
      <c r="G50" s="44" t="str">
        <f>IF(D25="Y","/porcelet sev.",(IF(D25="N","/Kg Porc",#VALUE!)))</f>
        <v>/porcelet sev.</v>
      </c>
      <c r="H50" s="76" t="str">
        <f>" "&amp;FIXED(G52,0,TRUE)&amp;IF(D25="Y"," porcs",(IF(D25="N"," Kg",#VALUE!)))</f>
        <v xml:space="preserve"> 7755 porcs</v>
      </c>
      <c r="I50" s="6"/>
      <c r="J50" s="2"/>
      <c r="K50" s="2"/>
    </row>
    <row r="51" spans="1:11" x14ac:dyDescent="0.4">
      <c r="A51" s="42" t="s">
        <v>181</v>
      </c>
      <c r="B51" s="43"/>
      <c r="C51" s="43"/>
      <c r="D51" s="46" t="s">
        <v>8</v>
      </c>
      <c r="E51" s="98" t="s">
        <v>4</v>
      </c>
      <c r="F51" s="52"/>
      <c r="G51" s="121" t="s">
        <v>8</v>
      </c>
      <c r="H51" s="76" t="s">
        <v>9</v>
      </c>
      <c r="I51" s="6"/>
      <c r="J51" s="2"/>
      <c r="K51" s="2"/>
    </row>
    <row r="52" spans="1:11" x14ac:dyDescent="0.4">
      <c r="A52" s="42" t="s">
        <v>182</v>
      </c>
      <c r="B52" s="43"/>
      <c r="C52" s="43"/>
      <c r="D52" s="52"/>
      <c r="E52" s="49"/>
      <c r="F52" s="52"/>
      <c r="G52" s="122">
        <f>IF(D26="N",H13,IF(D26="Y",H13*D14,#VALUE!))</f>
        <v>7755</v>
      </c>
      <c r="H52" s="48"/>
      <c r="I52" s="6"/>
      <c r="J52" s="2"/>
      <c r="K52" s="2"/>
    </row>
    <row r="53" spans="1:11" x14ac:dyDescent="0.4">
      <c r="A53" s="42" t="s">
        <v>103</v>
      </c>
      <c r="B53" s="44"/>
      <c r="C53" s="43"/>
      <c r="D53" s="75">
        <v>0</v>
      </c>
      <c r="E53" s="123">
        <v>0</v>
      </c>
      <c r="F53" s="52"/>
      <c r="G53" s="52">
        <f>IF(D53=0,E53/$G$45,D53)</f>
        <v>0</v>
      </c>
      <c r="H53" s="48">
        <f>G53*G52</f>
        <v>0</v>
      </c>
      <c r="I53" s="6"/>
      <c r="J53" s="2"/>
      <c r="K53" s="2"/>
    </row>
    <row r="54" spans="1:11" x14ac:dyDescent="0.4">
      <c r="A54" s="42" t="s">
        <v>71</v>
      </c>
      <c r="B54" s="43"/>
      <c r="C54" s="43"/>
      <c r="D54" s="75">
        <v>12.44</v>
      </c>
      <c r="E54" s="123">
        <v>0</v>
      </c>
      <c r="F54" s="43"/>
      <c r="G54" s="52">
        <f t="shared" ref="G54:G61" si="0">IF(D54=0,E54/$G$45,D54)</f>
        <v>12.44</v>
      </c>
      <c r="H54" s="48">
        <f>G54*G52</f>
        <v>96472.2</v>
      </c>
      <c r="I54" s="2"/>
      <c r="J54" s="2"/>
      <c r="K54" s="2"/>
    </row>
    <row r="55" spans="1:11" x14ac:dyDescent="0.4">
      <c r="A55" s="42" t="s">
        <v>75</v>
      </c>
      <c r="B55" s="43"/>
      <c r="C55" s="44"/>
      <c r="D55" s="75">
        <v>7.54</v>
      </c>
      <c r="E55" s="123">
        <v>0</v>
      </c>
      <c r="F55" s="56"/>
      <c r="G55" s="52">
        <f t="shared" si="0"/>
        <v>7.54</v>
      </c>
      <c r="H55" s="48">
        <f>G55*G52</f>
        <v>58472.7</v>
      </c>
      <c r="I55" s="2"/>
      <c r="J55" s="2"/>
      <c r="K55" s="2"/>
    </row>
    <row r="56" spans="1:11" x14ac:dyDescent="0.4">
      <c r="A56" s="42" t="s">
        <v>104</v>
      </c>
      <c r="B56" s="124" t="s">
        <v>109</v>
      </c>
      <c r="C56" s="125"/>
      <c r="D56" s="75">
        <v>0</v>
      </c>
      <c r="E56" s="123">
        <v>0</v>
      </c>
      <c r="F56" s="43"/>
      <c r="G56" s="52">
        <f t="shared" si="0"/>
        <v>0</v>
      </c>
      <c r="H56" s="48">
        <f>G56*G52</f>
        <v>0</v>
      </c>
      <c r="I56" s="2"/>
      <c r="J56" s="2"/>
      <c r="K56" s="2"/>
    </row>
    <row r="57" spans="1:11" x14ac:dyDescent="0.4">
      <c r="A57" s="42" t="s">
        <v>105</v>
      </c>
      <c r="B57" s="124" t="s">
        <v>110</v>
      </c>
      <c r="C57" s="125"/>
      <c r="D57" s="75">
        <v>0</v>
      </c>
      <c r="E57" s="123">
        <v>0</v>
      </c>
      <c r="F57" s="52"/>
      <c r="G57" s="52">
        <f t="shared" si="0"/>
        <v>0</v>
      </c>
      <c r="H57" s="48">
        <f>G57*G52</f>
        <v>0</v>
      </c>
      <c r="I57" s="2"/>
      <c r="J57" s="2"/>
      <c r="K57" s="2"/>
    </row>
    <row r="58" spans="1:11" x14ac:dyDescent="0.4">
      <c r="A58" s="42" t="s">
        <v>106</v>
      </c>
      <c r="B58" s="124" t="s">
        <v>13</v>
      </c>
      <c r="C58" s="125"/>
      <c r="D58" s="75">
        <f>IF(D25="Y",0,(IF(D25="N",0/D14,#VALUE!)))</f>
        <v>0</v>
      </c>
      <c r="E58" s="123">
        <v>0</v>
      </c>
      <c r="F58" s="52"/>
      <c r="G58" s="52">
        <f t="shared" si="0"/>
        <v>0</v>
      </c>
      <c r="H58" s="48">
        <f>G58*G52</f>
        <v>0</v>
      </c>
      <c r="I58" s="6"/>
      <c r="J58" s="2"/>
      <c r="K58" s="2"/>
    </row>
    <row r="59" spans="1:11" x14ac:dyDescent="0.4">
      <c r="A59" s="42" t="s">
        <v>107</v>
      </c>
      <c r="B59" s="43"/>
      <c r="C59" s="43"/>
      <c r="D59" s="75">
        <v>0</v>
      </c>
      <c r="E59" s="123">
        <v>0</v>
      </c>
      <c r="F59" s="43"/>
      <c r="G59" s="52">
        <f t="shared" si="0"/>
        <v>0</v>
      </c>
      <c r="H59" s="48">
        <f>G59*G52</f>
        <v>0</v>
      </c>
      <c r="I59" s="6"/>
      <c r="J59" s="2"/>
      <c r="K59" s="2"/>
    </row>
    <row r="60" spans="1:11" x14ac:dyDescent="0.4">
      <c r="A60" s="42" t="s">
        <v>108</v>
      </c>
      <c r="B60" s="44"/>
      <c r="C60" s="43"/>
      <c r="D60" s="75">
        <v>0</v>
      </c>
      <c r="E60" s="123">
        <v>0</v>
      </c>
      <c r="F60" s="43"/>
      <c r="G60" s="52">
        <f t="shared" si="0"/>
        <v>0</v>
      </c>
      <c r="H60" s="48">
        <f>G60*G52</f>
        <v>0</v>
      </c>
      <c r="I60" s="6"/>
      <c r="J60" s="2"/>
      <c r="K60" s="2"/>
    </row>
    <row r="61" spans="1:11" x14ac:dyDescent="0.4">
      <c r="A61" s="42" t="s">
        <v>183</v>
      </c>
      <c r="B61" s="124" t="s">
        <v>14</v>
      </c>
      <c r="C61" s="125"/>
      <c r="D61" s="75">
        <v>0</v>
      </c>
      <c r="E61" s="123">
        <v>0</v>
      </c>
      <c r="F61" s="52"/>
      <c r="G61" s="52">
        <f t="shared" si="0"/>
        <v>0</v>
      </c>
      <c r="H61" s="48">
        <f>G61*G52</f>
        <v>0</v>
      </c>
      <c r="I61" s="6"/>
      <c r="J61" s="2"/>
      <c r="K61" s="2"/>
    </row>
    <row r="62" spans="1:11" hidden="1" x14ac:dyDescent="0.4">
      <c r="A62" s="42"/>
      <c r="B62" s="43"/>
      <c r="C62" s="43"/>
      <c r="D62" s="43"/>
      <c r="E62" s="44"/>
      <c r="F62" s="52"/>
      <c r="G62" s="52"/>
      <c r="H62" s="80"/>
      <c r="I62" s="6"/>
      <c r="J62" s="2"/>
      <c r="K62" s="2"/>
    </row>
    <row r="63" spans="1:11" hidden="1" x14ac:dyDescent="0.4">
      <c r="A63" s="58" t="s">
        <v>46</v>
      </c>
      <c r="B63" s="59"/>
      <c r="C63" s="59"/>
      <c r="D63" s="63"/>
      <c r="E63" s="63"/>
      <c r="F63" s="64"/>
      <c r="G63" s="63"/>
      <c r="H63" s="62"/>
      <c r="I63" s="5"/>
      <c r="J63" s="2"/>
      <c r="K63" s="2"/>
    </row>
    <row r="64" spans="1:11" hidden="1" x14ac:dyDescent="0.4">
      <c r="A64" s="58" t="s">
        <v>15</v>
      </c>
      <c r="B64" s="59"/>
      <c r="C64" s="59"/>
      <c r="D64" s="108">
        <f>F32</f>
        <v>7755</v>
      </c>
      <c r="E64" s="63" t="str">
        <f>IF(D25="Y","Feeders)",(IF(D25="N","Kg Pork)",#VALUE!)))</f>
        <v>Feeders)</v>
      </c>
      <c r="F64" s="64"/>
      <c r="G64" s="64">
        <v>0</v>
      </c>
      <c r="H64" s="65">
        <v>0</v>
      </c>
      <c r="I64" s="5"/>
      <c r="J64" s="2"/>
      <c r="K64" s="2"/>
    </row>
    <row r="65" spans="1:11" hidden="1" x14ac:dyDescent="0.4">
      <c r="A65" s="58"/>
      <c r="B65" s="59"/>
      <c r="C65" s="59"/>
      <c r="D65" s="126"/>
      <c r="E65" s="66"/>
      <c r="F65" s="59"/>
      <c r="G65" s="64"/>
      <c r="H65" s="65"/>
      <c r="I65" s="5"/>
      <c r="J65" s="2"/>
      <c r="K65" s="2"/>
    </row>
    <row r="66" spans="1:11" hidden="1" x14ac:dyDescent="0.4">
      <c r="A66" s="58"/>
      <c r="B66" s="127" t="s">
        <v>16</v>
      </c>
      <c r="C66" s="59"/>
      <c r="D66" s="126"/>
      <c r="E66" s="66"/>
      <c r="F66" s="64"/>
      <c r="G66" s="64"/>
      <c r="H66" s="65"/>
      <c r="I66" s="2"/>
      <c r="J66" s="2"/>
      <c r="K66" s="2"/>
    </row>
    <row r="67" spans="1:11" ht="15.75" hidden="1" customHeight="1" x14ac:dyDescent="0.4">
      <c r="A67" s="58" t="s">
        <v>10</v>
      </c>
      <c r="B67" s="128"/>
      <c r="C67" s="129"/>
      <c r="D67" s="130">
        <v>0</v>
      </c>
      <c r="E67" s="131">
        <v>0</v>
      </c>
      <c r="F67" s="63"/>
      <c r="G67" s="64">
        <f>E67/G45</f>
        <v>0</v>
      </c>
      <c r="H67" s="65">
        <f>G67*G52</f>
        <v>0</v>
      </c>
      <c r="I67" s="6"/>
      <c r="J67" s="2"/>
      <c r="K67" s="2"/>
    </row>
    <row r="68" spans="1:11" ht="15.75" hidden="1" customHeight="1" x14ac:dyDescent="0.4">
      <c r="A68" s="58" t="s">
        <v>11</v>
      </c>
      <c r="B68" s="128" t="s">
        <v>13</v>
      </c>
      <c r="C68" s="129"/>
      <c r="D68" s="130">
        <v>0</v>
      </c>
      <c r="E68" s="131">
        <v>0</v>
      </c>
      <c r="F68" s="59"/>
      <c r="G68" s="64">
        <f>E68/G45</f>
        <v>0</v>
      </c>
      <c r="H68" s="65">
        <f>G68*G52</f>
        <v>0</v>
      </c>
      <c r="I68" s="2"/>
      <c r="J68" s="2"/>
      <c r="K68" s="2"/>
    </row>
    <row r="69" spans="1:11" ht="15.75" hidden="1" customHeight="1" x14ac:dyDescent="0.4">
      <c r="A69" s="58" t="s">
        <v>12</v>
      </c>
      <c r="B69" s="128" t="s">
        <v>13</v>
      </c>
      <c r="C69" s="129"/>
      <c r="D69" s="130">
        <v>0</v>
      </c>
      <c r="E69" s="131">
        <v>0</v>
      </c>
      <c r="F69" s="63"/>
      <c r="G69" s="64">
        <f>E69/G45</f>
        <v>0</v>
      </c>
      <c r="H69" s="65">
        <f>G69*G52</f>
        <v>0</v>
      </c>
      <c r="I69" s="2"/>
      <c r="J69" s="2"/>
      <c r="K69" s="2"/>
    </row>
    <row r="70" spans="1:11" x14ac:dyDescent="0.4">
      <c r="A70" s="54"/>
      <c r="B70" s="43"/>
      <c r="C70" s="43"/>
      <c r="D70" s="132"/>
      <c r="E70" s="49"/>
      <c r="F70" s="43"/>
      <c r="G70" s="121" t="s">
        <v>8</v>
      </c>
      <c r="H70" s="76" t="s">
        <v>9</v>
      </c>
      <c r="I70" s="2"/>
      <c r="J70" s="2"/>
      <c r="K70" s="2"/>
    </row>
    <row r="71" spans="1:11" x14ac:dyDescent="0.4">
      <c r="A71" s="42" t="s">
        <v>176</v>
      </c>
      <c r="B71" s="43"/>
      <c r="C71" s="43"/>
      <c r="D71" s="132"/>
      <c r="E71" s="49"/>
      <c r="F71" s="78"/>
      <c r="G71" s="52">
        <f>H71/G52</f>
        <v>19.98</v>
      </c>
      <c r="H71" s="48">
        <f>SUM(H53:H69)</f>
        <v>154944.9</v>
      </c>
      <c r="I71" s="2"/>
      <c r="J71" s="2"/>
      <c r="K71" s="2"/>
    </row>
    <row r="72" spans="1:11" x14ac:dyDescent="0.4">
      <c r="A72" s="54"/>
      <c r="B72" s="43"/>
      <c r="C72" s="43"/>
      <c r="D72" s="132"/>
      <c r="E72" s="49"/>
      <c r="F72" s="52"/>
      <c r="G72" s="52"/>
      <c r="H72" s="48"/>
      <c r="I72" s="2"/>
      <c r="J72" s="2"/>
      <c r="K72" s="2"/>
    </row>
    <row r="73" spans="1:11" x14ac:dyDescent="0.4">
      <c r="A73" s="54"/>
      <c r="B73" s="43"/>
      <c r="C73" s="43"/>
      <c r="D73" s="132"/>
      <c r="E73" s="49"/>
      <c r="F73" s="43"/>
      <c r="G73" s="52"/>
      <c r="H73" s="76" t="s">
        <v>69</v>
      </c>
      <c r="I73" s="6"/>
      <c r="J73" s="2"/>
      <c r="K73" s="2"/>
    </row>
    <row r="74" spans="1:11" x14ac:dyDescent="0.4">
      <c r="A74" s="42" t="s">
        <v>111</v>
      </c>
      <c r="B74" s="43"/>
      <c r="C74" s="43"/>
      <c r="D74" s="133" t="s">
        <v>114</v>
      </c>
      <c r="E74" s="133" t="s">
        <v>97</v>
      </c>
      <c r="F74" s="52"/>
      <c r="G74" s="44" t="str">
        <f>G50</f>
        <v>/porcelet sev.</v>
      </c>
      <c r="H74" s="76" t="str">
        <f>" "&amp;FIXED(G52,0,TRUE)&amp;IF(D25="Y"," porcs",(IF(D25="N"," Kg",#VALUE!)))</f>
        <v xml:space="preserve"> 7755 porcs</v>
      </c>
      <c r="I74" s="6"/>
      <c r="J74" s="2"/>
      <c r="K74" s="2"/>
    </row>
    <row r="75" spans="1:11" x14ac:dyDescent="0.4">
      <c r="A75" s="42" t="s">
        <v>112</v>
      </c>
      <c r="B75" s="44"/>
      <c r="C75" s="43"/>
      <c r="D75" s="40">
        <v>0</v>
      </c>
      <c r="E75" s="40">
        <v>520</v>
      </c>
      <c r="F75" s="52"/>
      <c r="G75" s="52">
        <f>(D75*E75)/G45</f>
        <v>0</v>
      </c>
      <c r="H75" s="48">
        <f>G75*G52</f>
        <v>0</v>
      </c>
      <c r="I75" s="6"/>
      <c r="J75" s="2"/>
      <c r="K75" s="2"/>
    </row>
    <row r="76" spans="1:11" x14ac:dyDescent="0.4">
      <c r="A76" s="42" t="s">
        <v>113</v>
      </c>
      <c r="B76" s="43"/>
      <c r="C76" s="43"/>
      <c r="D76" s="40">
        <v>126</v>
      </c>
      <c r="E76" s="40">
        <v>376.4</v>
      </c>
      <c r="F76" s="43"/>
      <c r="G76" s="52">
        <f>(D76*E76)/G45</f>
        <v>6.1155899419729201</v>
      </c>
      <c r="H76" s="48">
        <f>G76*G52</f>
        <v>47426.399999999994</v>
      </c>
      <c r="I76" s="6"/>
      <c r="J76" s="2"/>
      <c r="K76" s="2"/>
    </row>
    <row r="77" spans="1:11" x14ac:dyDescent="0.4">
      <c r="A77" s="42" t="s">
        <v>183</v>
      </c>
      <c r="B77" s="124" t="s">
        <v>17</v>
      </c>
      <c r="C77" s="134"/>
      <c r="D77" s="40">
        <v>0</v>
      </c>
      <c r="E77" s="40">
        <v>0</v>
      </c>
      <c r="F77" s="52"/>
      <c r="G77" s="52">
        <f>(D77*E77)/G45</f>
        <v>0</v>
      </c>
      <c r="H77" s="48">
        <f>G77*G52</f>
        <v>0</v>
      </c>
      <c r="I77" s="2"/>
      <c r="J77" s="2"/>
      <c r="K77" s="2"/>
    </row>
    <row r="78" spans="1:11" x14ac:dyDescent="0.4">
      <c r="A78" s="54"/>
      <c r="B78" s="49"/>
      <c r="C78" s="43"/>
      <c r="D78" s="52"/>
      <c r="E78" s="49"/>
      <c r="F78" s="52"/>
      <c r="G78" s="52"/>
      <c r="H78" s="48"/>
      <c r="I78" s="8"/>
      <c r="J78" s="2"/>
      <c r="K78" s="2"/>
    </row>
    <row r="79" spans="1:11" x14ac:dyDescent="0.4">
      <c r="A79" s="54"/>
      <c r="B79" s="43"/>
      <c r="C79" s="43"/>
      <c r="D79" s="92" t="s">
        <v>100</v>
      </c>
      <c r="E79" s="92" t="s">
        <v>69</v>
      </c>
      <c r="F79" s="43"/>
      <c r="G79" s="52"/>
      <c r="H79" s="76" t="s">
        <v>69</v>
      </c>
      <c r="I79" s="2"/>
      <c r="J79" s="2"/>
      <c r="K79" s="2"/>
    </row>
    <row r="80" spans="1:11" x14ac:dyDescent="0.4">
      <c r="A80" s="54"/>
      <c r="B80" s="49"/>
      <c r="C80" s="43"/>
      <c r="D80" s="92" t="str">
        <f>"$/"&amp;IF(D25="Y","porcelet sev.",(IF(D25="N","Kg Porc",#VALUE!)))</f>
        <v>$/porcelet sev.</v>
      </c>
      <c r="E80" s="92" t="str">
        <f>""&amp;FIXED(G45,0,TRUE)&amp;IF(D25="Y"," porcs",(IF(D25="N"," Kg",#VALUE!)))</f>
        <v>7755 porcs</v>
      </c>
      <c r="F80" s="52"/>
      <c r="G80" s="44" t="str">
        <f>IF(D25="Y","/porcelet sev.",(IF(D25="N","/Kg Pork",#VALUE!)))</f>
        <v>/porcelet sev.</v>
      </c>
      <c r="H80" s="76" t="str">
        <f>" "&amp;FIXED(G52,0,TRUE)&amp;IF(D25="Y"," porcs",(IF(D25="N","Kg",#VALUE!)))</f>
        <v xml:space="preserve"> 7755 porcs</v>
      </c>
      <c r="I80" s="2"/>
      <c r="J80" s="2"/>
      <c r="K80" s="2"/>
    </row>
    <row r="81" spans="1:11" x14ac:dyDescent="0.4">
      <c r="A81" s="42" t="s">
        <v>115</v>
      </c>
      <c r="B81" s="49"/>
      <c r="C81" s="43"/>
      <c r="D81" s="180">
        <v>6.93</v>
      </c>
      <c r="E81" s="123">
        <v>0</v>
      </c>
      <c r="F81" s="43"/>
      <c r="G81" s="52">
        <f>IF(D81=0,E81/$G$45,D81)</f>
        <v>6.93</v>
      </c>
      <c r="H81" s="48">
        <f>G81*G52</f>
        <v>53742.149999999994</v>
      </c>
      <c r="I81" s="4"/>
      <c r="J81" s="2"/>
      <c r="K81" s="2"/>
    </row>
    <row r="82" spans="1:11" x14ac:dyDescent="0.4">
      <c r="A82" s="42" t="s">
        <v>116</v>
      </c>
      <c r="B82" s="49"/>
      <c r="C82" s="43"/>
      <c r="D82" s="180">
        <v>2.2999999999999998</v>
      </c>
      <c r="E82" s="123">
        <v>0</v>
      </c>
      <c r="F82" s="43"/>
      <c r="G82" s="52">
        <f t="shared" ref="G82:G90" si="1">IF(D82=0,E82/$G$45,D82)</f>
        <v>2.2999999999999998</v>
      </c>
      <c r="H82" s="48">
        <f>G82*G52</f>
        <v>17836.5</v>
      </c>
      <c r="I82" s="2"/>
      <c r="J82" s="2"/>
      <c r="K82" s="2"/>
    </row>
    <row r="83" spans="1:11" x14ac:dyDescent="0.4">
      <c r="A83" s="42" t="s">
        <v>117</v>
      </c>
      <c r="B83" s="49"/>
      <c r="C83" s="43"/>
      <c r="D83" s="180">
        <v>1.91</v>
      </c>
      <c r="E83" s="123">
        <v>0</v>
      </c>
      <c r="F83" s="43"/>
      <c r="G83" s="52">
        <f t="shared" si="1"/>
        <v>1.91</v>
      </c>
      <c r="H83" s="48">
        <f>G83*G52</f>
        <v>14812.05</v>
      </c>
      <c r="I83" s="6"/>
      <c r="J83" s="2"/>
      <c r="K83" s="2"/>
    </row>
    <row r="84" spans="1:11" x14ac:dyDescent="0.4">
      <c r="A84" s="42" t="s">
        <v>118</v>
      </c>
      <c r="B84" s="43"/>
      <c r="C84" s="43"/>
      <c r="D84" s="180">
        <v>0</v>
      </c>
      <c r="E84" s="123">
        <v>0</v>
      </c>
      <c r="F84" s="43"/>
      <c r="G84" s="52">
        <f t="shared" si="1"/>
        <v>0</v>
      </c>
      <c r="H84" s="48">
        <f>G84*G52</f>
        <v>0</v>
      </c>
      <c r="I84" s="6"/>
      <c r="J84" s="2"/>
      <c r="K84" s="2"/>
    </row>
    <row r="85" spans="1:11" x14ac:dyDescent="0.4">
      <c r="A85" s="42" t="s">
        <v>119</v>
      </c>
      <c r="B85" s="43"/>
      <c r="C85" s="44"/>
      <c r="D85" s="180">
        <v>0</v>
      </c>
      <c r="E85" s="123">
        <v>0</v>
      </c>
      <c r="F85" s="49"/>
      <c r="G85" s="52">
        <f t="shared" si="1"/>
        <v>0</v>
      </c>
      <c r="H85" s="48">
        <f>G85*G52</f>
        <v>0</v>
      </c>
      <c r="I85" s="2"/>
      <c r="J85" s="2"/>
      <c r="K85" s="2"/>
    </row>
    <row r="86" spans="1:11" x14ac:dyDescent="0.4">
      <c r="A86" s="42" t="s">
        <v>120</v>
      </c>
      <c r="B86" s="43"/>
      <c r="C86" s="43"/>
      <c r="D86" s="180">
        <v>1.25</v>
      </c>
      <c r="E86" s="123">
        <v>0</v>
      </c>
      <c r="F86" s="43"/>
      <c r="G86" s="52">
        <f t="shared" si="1"/>
        <v>1.25</v>
      </c>
      <c r="H86" s="48">
        <f>G86*G52</f>
        <v>9693.75</v>
      </c>
      <c r="I86" s="6"/>
      <c r="J86" s="2"/>
      <c r="K86" s="2"/>
    </row>
    <row r="87" spans="1:11" x14ac:dyDescent="0.4">
      <c r="A87" s="42" t="s">
        <v>121</v>
      </c>
      <c r="B87" s="43"/>
      <c r="C87" s="43"/>
      <c r="D87" s="180">
        <v>0</v>
      </c>
      <c r="E87" s="123">
        <v>0</v>
      </c>
      <c r="F87" s="49"/>
      <c r="G87" s="52">
        <f t="shared" si="1"/>
        <v>0</v>
      </c>
      <c r="H87" s="48">
        <f>G87*G52</f>
        <v>0</v>
      </c>
      <c r="I87" s="6"/>
      <c r="J87" s="2"/>
      <c r="K87" s="2"/>
    </row>
    <row r="88" spans="1:11" x14ac:dyDescent="0.4">
      <c r="A88" s="42" t="s">
        <v>122</v>
      </c>
      <c r="B88" s="124" t="s">
        <v>123</v>
      </c>
      <c r="C88" s="124"/>
      <c r="D88" s="180">
        <v>0</v>
      </c>
      <c r="E88" s="123">
        <v>0</v>
      </c>
      <c r="F88" s="49"/>
      <c r="G88" s="52">
        <f t="shared" si="1"/>
        <v>0</v>
      </c>
      <c r="H88" s="48">
        <f>G88*G52</f>
        <v>0</v>
      </c>
      <c r="I88" s="2"/>
      <c r="J88" s="2"/>
      <c r="K88" s="2"/>
    </row>
    <row r="89" spans="1:11" x14ac:dyDescent="0.4">
      <c r="A89" s="42" t="s">
        <v>124</v>
      </c>
      <c r="B89" s="43"/>
      <c r="C89" s="43"/>
      <c r="D89" s="180">
        <v>0</v>
      </c>
      <c r="E89" s="123">
        <v>0</v>
      </c>
      <c r="F89" s="43"/>
      <c r="G89" s="52">
        <f t="shared" si="1"/>
        <v>0</v>
      </c>
      <c r="H89" s="48">
        <f>G89*G52</f>
        <v>0</v>
      </c>
      <c r="I89" s="6"/>
      <c r="J89" s="2"/>
      <c r="K89" s="2"/>
    </row>
    <row r="90" spans="1:11" x14ac:dyDescent="0.4">
      <c r="A90" s="42" t="s">
        <v>125</v>
      </c>
      <c r="B90" s="43"/>
      <c r="C90" s="56"/>
      <c r="D90" s="180">
        <v>2.77</v>
      </c>
      <c r="E90" s="123">
        <v>0</v>
      </c>
      <c r="F90" s="135"/>
      <c r="G90" s="52">
        <f t="shared" si="1"/>
        <v>2.77</v>
      </c>
      <c r="H90" s="48">
        <f>G90*G52</f>
        <v>21481.35</v>
      </c>
      <c r="I90" s="6"/>
      <c r="J90" s="2"/>
      <c r="K90" s="2"/>
    </row>
    <row r="91" spans="1:11" x14ac:dyDescent="0.4">
      <c r="A91" s="54"/>
      <c r="B91" s="43"/>
      <c r="C91" s="56"/>
      <c r="D91" s="52"/>
      <c r="E91" s="49"/>
      <c r="F91" s="135"/>
      <c r="G91" s="52"/>
      <c r="H91" s="48"/>
      <c r="I91" s="6"/>
      <c r="J91" s="2"/>
      <c r="K91" s="2"/>
    </row>
    <row r="92" spans="1:11" x14ac:dyDescent="0.4">
      <c r="A92" s="42"/>
      <c r="B92" s="43"/>
      <c r="C92" s="43"/>
      <c r="D92" s="52"/>
      <c r="E92" s="49"/>
      <c r="F92" s="135"/>
      <c r="G92" s="52"/>
      <c r="H92" s="48"/>
      <c r="I92" s="6"/>
      <c r="J92" s="3"/>
      <c r="K92" s="2"/>
    </row>
    <row r="93" spans="1:11" x14ac:dyDescent="0.4">
      <c r="A93" s="54"/>
      <c r="B93" s="43"/>
      <c r="C93" s="43"/>
      <c r="D93" s="92" t="s">
        <v>100</v>
      </c>
      <c r="E93" s="92" t="s">
        <v>69</v>
      </c>
      <c r="F93" s="52"/>
      <c r="G93" s="52"/>
      <c r="H93" s="76" t="s">
        <v>69</v>
      </c>
      <c r="I93" s="2"/>
      <c r="J93" s="3"/>
      <c r="K93" s="2"/>
    </row>
    <row r="94" spans="1:11" x14ac:dyDescent="0.4">
      <c r="A94" s="51"/>
      <c r="B94" s="43"/>
      <c r="C94" s="43"/>
      <c r="D94" s="92" t="str">
        <f>"$/"&amp;IF(D25="Y","porcelet sev.",(IF(D25="N","Kg Porc",#VALUE!)))</f>
        <v>$/porcelet sev.</v>
      </c>
      <c r="E94" s="92" t="str">
        <f>""&amp;FIXED(G45,0,TRUE)&amp;IF(D25="Y"," porcs",(IF(D25="N"," Kg",#VALUE!)))</f>
        <v>7755 porcs</v>
      </c>
      <c r="F94" s="49"/>
      <c r="G94" s="44" t="str">
        <f>G50</f>
        <v>/porcelet sev.</v>
      </c>
      <c r="H94" s="76" t="str">
        <f>" "&amp;FIXED(G52,0,TRUE)&amp;IF(D25="Y"," porcs",(IF(D25="N","Kg",#VALUE!)))</f>
        <v xml:space="preserve"> 7755 porcs</v>
      </c>
      <c r="I94" s="3"/>
      <c r="J94" s="3"/>
      <c r="K94" s="2"/>
    </row>
    <row r="95" spans="1:11" x14ac:dyDescent="0.4">
      <c r="A95" s="42" t="s">
        <v>127</v>
      </c>
      <c r="B95" s="43"/>
      <c r="C95" s="49"/>
      <c r="D95" s="75">
        <v>0</v>
      </c>
      <c r="E95" s="75">
        <v>0</v>
      </c>
      <c r="F95" s="49"/>
      <c r="G95" s="52">
        <f>IF(D95=0,E95/$G$45,D95)</f>
        <v>0</v>
      </c>
      <c r="H95" s="48">
        <f>G95*$G$52</f>
        <v>0</v>
      </c>
      <c r="I95" s="3"/>
      <c r="J95" s="3"/>
      <c r="K95" s="2"/>
    </row>
    <row r="96" spans="1:11" x14ac:dyDescent="0.4">
      <c r="A96" s="42" t="s">
        <v>126</v>
      </c>
      <c r="B96" s="43"/>
      <c r="C96" s="43"/>
      <c r="D96" s="75">
        <v>0</v>
      </c>
      <c r="E96" s="75">
        <v>0</v>
      </c>
      <c r="F96" s="43"/>
      <c r="G96" s="52">
        <f>IF(D96=0,E96/$G$45,D96)</f>
        <v>0</v>
      </c>
      <c r="H96" s="48">
        <f>G96*$G$52</f>
        <v>0</v>
      </c>
      <c r="I96" s="3"/>
      <c r="J96" s="3"/>
      <c r="K96" s="2"/>
    </row>
    <row r="97" spans="1:11" x14ac:dyDescent="0.4">
      <c r="A97" s="42" t="s">
        <v>128</v>
      </c>
      <c r="B97" s="52"/>
      <c r="C97" s="49"/>
      <c r="D97" s="75">
        <v>1.88</v>
      </c>
      <c r="E97" s="75">
        <v>0</v>
      </c>
      <c r="F97" s="43"/>
      <c r="G97" s="52">
        <f>IF(D97=0,E97/$G$45,D97)</f>
        <v>1.88</v>
      </c>
      <c r="H97" s="48">
        <f>G97*$G$52</f>
        <v>14579.4</v>
      </c>
      <c r="I97" s="2"/>
      <c r="J97" s="2"/>
      <c r="K97" s="2"/>
    </row>
    <row r="98" spans="1:11" x14ac:dyDescent="0.4">
      <c r="A98" s="42" t="s">
        <v>129</v>
      </c>
      <c r="B98" s="52"/>
      <c r="C98" s="49"/>
      <c r="D98" s="75">
        <f>IF(D25="Y",0,(IF(D25="N",0/D14,#VALUE!)))</f>
        <v>0</v>
      </c>
      <c r="E98" s="75">
        <f>IF(E25="Y",0,(IF(E25="N",0/E14,#VALUE!)))</f>
        <v>0</v>
      </c>
      <c r="F98" s="49"/>
      <c r="G98" s="52">
        <f>IF(D98=0,E98/$G$45,D98)</f>
        <v>0</v>
      </c>
      <c r="H98" s="48">
        <f>G98*$G$52</f>
        <v>0</v>
      </c>
      <c r="I98" s="3"/>
      <c r="J98" s="2"/>
      <c r="K98" s="2"/>
    </row>
    <row r="99" spans="1:11" x14ac:dyDescent="0.4">
      <c r="A99" s="42" t="s">
        <v>130</v>
      </c>
      <c r="B99" s="52"/>
      <c r="C99" s="49"/>
      <c r="D99" s="75">
        <v>1.02</v>
      </c>
      <c r="E99" s="75">
        <v>0</v>
      </c>
      <c r="F99" s="44"/>
      <c r="G99" s="52">
        <f>IF(D99=0,E99/$G$45,D99)</f>
        <v>1.02</v>
      </c>
      <c r="H99" s="48">
        <f>G99*$G$52</f>
        <v>7910.1</v>
      </c>
      <c r="I99" s="3"/>
      <c r="J99" s="2"/>
      <c r="K99" s="2"/>
    </row>
    <row r="100" spans="1:11" x14ac:dyDescent="0.4">
      <c r="A100" s="42" t="s">
        <v>131</v>
      </c>
      <c r="B100" s="52"/>
      <c r="C100" s="121" t="s">
        <v>134</v>
      </c>
      <c r="D100" s="121" t="s">
        <v>135</v>
      </c>
      <c r="E100" s="136"/>
      <c r="F100" s="49"/>
      <c r="G100" s="136"/>
      <c r="H100" s="45"/>
      <c r="I100" s="3"/>
      <c r="J100" s="2"/>
      <c r="K100" s="2"/>
    </row>
    <row r="101" spans="1:11" x14ac:dyDescent="0.4">
      <c r="A101" s="42" t="s">
        <v>132</v>
      </c>
      <c r="B101" s="52"/>
      <c r="C101" s="40">
        <v>7.97</v>
      </c>
      <c r="D101" s="40">
        <v>20</v>
      </c>
      <c r="E101" s="137">
        <f ca="1">IF(K115=0,0,HLOOKUP(A2,INDIRECT(K22),7, FALSE)*INDIRECT(K115)*0.01)</f>
        <v>0</v>
      </c>
      <c r="F101" s="43"/>
      <c r="G101" s="52">
        <f ca="1">(H101/G52)</f>
        <v>0.70380399742101873</v>
      </c>
      <c r="H101" s="48">
        <f ca="1">IF(E101=0,J115,IF(INDIRECT(K115)&gt;0,E101,J115))</f>
        <v>5458</v>
      </c>
      <c r="I101" s="2"/>
      <c r="J101" s="2"/>
      <c r="K101" s="2"/>
    </row>
    <row r="102" spans="1:11" x14ac:dyDescent="0.4">
      <c r="A102" s="54"/>
      <c r="B102" s="43"/>
      <c r="C102" s="43"/>
      <c r="D102" s="43"/>
      <c r="E102" s="136"/>
      <c r="F102" s="49"/>
      <c r="G102" s="121" t="s">
        <v>9</v>
      </c>
      <c r="H102" s="76" t="s">
        <v>18</v>
      </c>
      <c r="I102" s="2"/>
      <c r="J102" s="5"/>
      <c r="K102" s="2"/>
    </row>
    <row r="103" spans="1:11" x14ac:dyDescent="0.4">
      <c r="A103" s="42" t="s">
        <v>133</v>
      </c>
      <c r="B103" s="43"/>
      <c r="C103" s="43"/>
      <c r="D103" s="43"/>
      <c r="E103" s="136"/>
      <c r="F103" s="49"/>
      <c r="G103" s="52">
        <f ca="1">SUM(G66:G101)</f>
        <v>44.859393939393946</v>
      </c>
      <c r="H103" s="48">
        <f ca="1">SUM(H71,H75:H77,H81:H90,H95:H101)</f>
        <v>347884.59999999992</v>
      </c>
      <c r="I103" s="3"/>
      <c r="J103" s="2"/>
      <c r="K103" s="2"/>
    </row>
    <row r="104" spans="1:11" x14ac:dyDescent="0.4">
      <c r="A104" s="51"/>
      <c r="B104" s="43"/>
      <c r="C104" s="43"/>
      <c r="D104" s="43"/>
      <c r="E104" s="136"/>
      <c r="F104" s="43"/>
      <c r="G104" s="43"/>
      <c r="H104" s="80"/>
      <c r="I104" s="3"/>
      <c r="J104" s="2"/>
      <c r="K104" s="2"/>
    </row>
    <row r="105" spans="1:11" x14ac:dyDescent="0.4">
      <c r="A105" s="54"/>
      <c r="B105" s="43"/>
      <c r="C105" s="43"/>
      <c r="D105" s="92" t="s">
        <v>100</v>
      </c>
      <c r="E105" s="92" t="s">
        <v>69</v>
      </c>
      <c r="F105" s="49"/>
      <c r="G105" s="52"/>
      <c r="H105" s="76" t="s">
        <v>69</v>
      </c>
      <c r="I105" s="3"/>
      <c r="J105" s="2"/>
      <c r="K105" s="2"/>
    </row>
    <row r="106" spans="1:11" x14ac:dyDescent="0.4">
      <c r="A106" s="42" t="s">
        <v>136</v>
      </c>
      <c r="B106" s="43"/>
      <c r="C106" s="43"/>
      <c r="D106" s="92" t="str">
        <f>"$/"&amp;IF(D25="Y","porcelet sev.",(IF(D25="N","Kg Porc",#VALUE!)))</f>
        <v>$/porcelet sev.</v>
      </c>
      <c r="E106" s="92" t="str">
        <f>""&amp;FIXED(G45,0,TRUE)&amp;IF(D25="Y"," porcs",(IF(D25="N"," Kg",#VALUE!)))</f>
        <v>7755 porcs</v>
      </c>
      <c r="F106" s="49"/>
      <c r="G106" s="44" t="str">
        <f>G50</f>
        <v>/porcelet sev.</v>
      </c>
      <c r="H106" s="76" t="str">
        <f>" "&amp;FIXED(G52,0,TRUE)&amp;IF(D25="Y"," porcs",(IF(D25="N","Kg",#VALUE!)))</f>
        <v xml:space="preserve"> 7755 porcs</v>
      </c>
      <c r="I106" s="3"/>
      <c r="J106" s="2"/>
      <c r="K106" s="2"/>
    </row>
    <row r="107" spans="1:11" x14ac:dyDescent="0.4">
      <c r="A107" s="42" t="s">
        <v>137</v>
      </c>
      <c r="B107" s="43"/>
      <c r="C107" s="43"/>
      <c r="D107" s="75">
        <v>6.27</v>
      </c>
      <c r="E107" s="75">
        <v>0</v>
      </c>
      <c r="F107" s="49"/>
      <c r="G107" s="52">
        <f>IF(D107=0,E107/$G$45,D107)</f>
        <v>6.27</v>
      </c>
      <c r="H107" s="48">
        <f>G107*$G$52</f>
        <v>48623.85</v>
      </c>
      <c r="I107" s="3"/>
      <c r="J107" s="2"/>
      <c r="K107" s="2"/>
    </row>
    <row r="108" spans="1:11" x14ac:dyDescent="0.4">
      <c r="A108" s="42" t="s">
        <v>138</v>
      </c>
      <c r="B108" s="43"/>
      <c r="C108" s="43"/>
      <c r="D108" s="75">
        <v>1.76</v>
      </c>
      <c r="E108" s="75">
        <v>0</v>
      </c>
      <c r="F108" s="43"/>
      <c r="G108" s="52">
        <f>IF(D108=0,E108/$G$45,D108)</f>
        <v>1.76</v>
      </c>
      <c r="H108" s="48">
        <f>G108*$G$52</f>
        <v>13648.8</v>
      </c>
      <c r="I108" s="3"/>
      <c r="J108" s="2"/>
      <c r="K108" s="1" t="s">
        <v>36</v>
      </c>
    </row>
    <row r="109" spans="1:11" x14ac:dyDescent="0.4">
      <c r="A109" s="42" t="s">
        <v>139</v>
      </c>
      <c r="B109" s="43"/>
      <c r="C109" s="43"/>
      <c r="D109" s="75">
        <v>0</v>
      </c>
      <c r="E109" s="75">
        <v>0</v>
      </c>
      <c r="F109" s="49"/>
      <c r="G109" s="52">
        <f>IF(D109=0,E109/$G$45,D109)</f>
        <v>0</v>
      </c>
      <c r="H109" s="48">
        <f>G109*$G$52</f>
        <v>0</v>
      </c>
      <c r="I109" s="3"/>
      <c r="J109" s="2"/>
      <c r="K109" s="1" t="s">
        <v>37</v>
      </c>
    </row>
    <row r="110" spans="1:11" x14ac:dyDescent="0.4">
      <c r="A110" s="42" t="s">
        <v>140</v>
      </c>
      <c r="B110" s="43"/>
      <c r="C110" s="43"/>
      <c r="D110" s="75">
        <v>1.88</v>
      </c>
      <c r="E110" s="75">
        <v>0</v>
      </c>
      <c r="F110" s="95"/>
      <c r="G110" s="52">
        <f>IF(D110=0,E110/$G$45,D110)</f>
        <v>1.88</v>
      </c>
      <c r="H110" s="48">
        <f>G110*$G$52</f>
        <v>14579.4</v>
      </c>
      <c r="I110" s="3"/>
      <c r="J110" s="2"/>
      <c r="K110" s="1" t="s">
        <v>38</v>
      </c>
    </row>
    <row r="111" spans="1:11" x14ac:dyDescent="0.4">
      <c r="A111" s="51"/>
      <c r="B111" s="43"/>
      <c r="C111" s="43"/>
      <c r="D111" s="43"/>
      <c r="E111" s="43"/>
      <c r="F111" s="43"/>
      <c r="G111" s="121" t="s">
        <v>9</v>
      </c>
      <c r="H111" s="76" t="s">
        <v>18</v>
      </c>
      <c r="I111" s="3"/>
      <c r="J111" s="2"/>
      <c r="K111" s="1" t="s">
        <v>39</v>
      </c>
    </row>
    <row r="112" spans="1:11" x14ac:dyDescent="0.4">
      <c r="A112" s="42" t="s">
        <v>141</v>
      </c>
      <c r="B112" s="43"/>
      <c r="C112" s="43"/>
      <c r="D112" s="43"/>
      <c r="E112" s="43"/>
      <c r="F112" s="43"/>
      <c r="G112" s="52">
        <f>SUM(G107:G110)</f>
        <v>9.91</v>
      </c>
      <c r="H112" s="48">
        <f>SUM(H107:H110)</f>
        <v>76852.049999999988</v>
      </c>
      <c r="I112" s="3"/>
      <c r="J112" s="2"/>
      <c r="K112" s="1" t="s">
        <v>40</v>
      </c>
    </row>
    <row r="113" spans="1:11" x14ac:dyDescent="0.4">
      <c r="A113" s="138"/>
      <c r="B113" s="139"/>
      <c r="C113" s="139"/>
      <c r="D113" s="139"/>
      <c r="E113" s="139"/>
      <c r="F113" s="139"/>
      <c r="G113" s="139"/>
      <c r="H113" s="73"/>
      <c r="I113" s="3"/>
      <c r="J113" s="2"/>
      <c r="K113" s="2"/>
    </row>
    <row r="114" spans="1:11" x14ac:dyDescent="0.4">
      <c r="A114" s="27" t="s">
        <v>142</v>
      </c>
      <c r="B114" s="28"/>
      <c r="C114" s="28"/>
      <c r="D114" s="28"/>
      <c r="E114" s="89" t="str">
        <f>G50</f>
        <v>/porcelet sev.</v>
      </c>
      <c r="F114" s="89" t="s">
        <v>69</v>
      </c>
      <c r="G114" s="28"/>
      <c r="H114" s="30"/>
      <c r="I114" s="3"/>
      <c r="J114" s="2"/>
      <c r="K114" s="2"/>
    </row>
    <row r="115" spans="1:11" x14ac:dyDescent="0.4">
      <c r="A115" s="42" t="s">
        <v>143</v>
      </c>
      <c r="B115" s="43"/>
      <c r="C115" s="43"/>
      <c r="D115" s="43"/>
      <c r="E115" s="52">
        <f>(F115/G52)</f>
        <v>56.851895551257257</v>
      </c>
      <c r="F115" s="49">
        <f>H43</f>
        <v>440886.45</v>
      </c>
      <c r="G115" s="135"/>
      <c r="H115" s="45"/>
      <c r="I115" s="3"/>
      <c r="J115" s="5">
        <f>ROUND(+C101*D101*0.0001*SUM(H71,H75:H77,H81:H90,H95:H99,-H85),0)</f>
        <v>5458</v>
      </c>
      <c r="K115" s="1" t="s">
        <v>41</v>
      </c>
    </row>
    <row r="116" spans="1:11" x14ac:dyDescent="0.4">
      <c r="A116" s="42" t="s">
        <v>144</v>
      </c>
      <c r="B116" s="43"/>
      <c r="C116" s="43"/>
      <c r="D116" s="44"/>
      <c r="E116" s="52">
        <f ca="1">(F116/G52)</f>
        <v>44.859393939393932</v>
      </c>
      <c r="F116" s="49">
        <f ca="1">H103</f>
        <v>347884.59999999992</v>
      </c>
      <c r="G116" s="135"/>
      <c r="H116" s="45"/>
      <c r="I116" s="3"/>
      <c r="J116" s="2"/>
      <c r="K116" s="2"/>
    </row>
    <row r="117" spans="1:11" x14ac:dyDescent="0.4">
      <c r="A117" s="51"/>
      <c r="B117" s="43"/>
      <c r="C117" s="43"/>
      <c r="D117" s="43"/>
      <c r="E117" s="121" t="s">
        <v>6</v>
      </c>
      <c r="F117" s="121" t="s">
        <v>19</v>
      </c>
      <c r="G117" s="52"/>
      <c r="H117" s="45"/>
      <c r="I117" s="3"/>
      <c r="J117" s="2"/>
      <c r="K117" s="4"/>
    </row>
    <row r="118" spans="1:11" x14ac:dyDescent="0.4">
      <c r="A118" s="42" t="s">
        <v>145</v>
      </c>
      <c r="B118" s="43"/>
      <c r="C118" s="43"/>
      <c r="D118" s="43"/>
      <c r="E118" s="52">
        <f ca="1">E115-E116</f>
        <v>11.992501611863325</v>
      </c>
      <c r="F118" s="49">
        <f ca="1">F115-F116</f>
        <v>93001.850000000093</v>
      </c>
      <c r="G118" s="43"/>
      <c r="H118" s="45"/>
      <c r="I118" s="2"/>
      <c r="J118" s="2"/>
      <c r="K118" s="4"/>
    </row>
    <row r="119" spans="1:11" x14ac:dyDescent="0.4">
      <c r="A119" s="42" t="s">
        <v>146</v>
      </c>
      <c r="B119" s="43"/>
      <c r="C119" s="43"/>
      <c r="D119" s="43"/>
      <c r="E119" s="52">
        <f>(F119/G52)</f>
        <v>9.9099999999999984</v>
      </c>
      <c r="F119" s="49">
        <f>H112</f>
        <v>76852.049999999988</v>
      </c>
      <c r="G119" s="49"/>
      <c r="H119" s="45"/>
      <c r="I119" s="3"/>
      <c r="J119" s="3"/>
      <c r="K119" s="4"/>
    </row>
    <row r="120" spans="1:11" x14ac:dyDescent="0.4">
      <c r="A120" s="51"/>
      <c r="B120" s="43"/>
      <c r="C120" s="43"/>
      <c r="D120" s="43"/>
      <c r="E120" s="121" t="s">
        <v>6</v>
      </c>
      <c r="F120" s="121" t="s">
        <v>19</v>
      </c>
      <c r="G120" s="136"/>
      <c r="H120" s="45"/>
      <c r="I120" s="3"/>
      <c r="J120" s="3"/>
      <c r="K120" s="4"/>
    </row>
    <row r="121" spans="1:11" x14ac:dyDescent="0.4">
      <c r="A121" s="42" t="s">
        <v>147</v>
      </c>
      <c r="B121" s="43"/>
      <c r="C121" s="43"/>
      <c r="D121" s="43"/>
      <c r="E121" s="52">
        <f ca="1">E118-E119</f>
        <v>2.0825016118633268</v>
      </c>
      <c r="F121" s="49">
        <f ca="1">F118-F119</f>
        <v>16149.800000000105</v>
      </c>
      <c r="G121" s="52"/>
      <c r="H121" s="45"/>
      <c r="I121" s="3"/>
      <c r="J121" s="3"/>
      <c r="K121" s="1" t="s">
        <v>42</v>
      </c>
    </row>
    <row r="122" spans="1:11" x14ac:dyDescent="0.4">
      <c r="A122" s="51"/>
      <c r="B122" s="44"/>
      <c r="C122" s="52"/>
      <c r="D122" s="43"/>
      <c r="E122" s="43"/>
      <c r="F122" s="43"/>
      <c r="G122" s="43"/>
      <c r="H122" s="45"/>
      <c r="I122" s="2"/>
      <c r="J122" s="2"/>
      <c r="K122" s="1" t="s">
        <v>43</v>
      </c>
    </row>
    <row r="123" spans="1:11" x14ac:dyDescent="0.4">
      <c r="A123" s="42" t="s">
        <v>174</v>
      </c>
      <c r="B123" s="43"/>
      <c r="C123" s="52"/>
      <c r="D123" s="44"/>
      <c r="E123" s="46" t="s">
        <v>166</v>
      </c>
      <c r="F123" s="43"/>
      <c r="G123" s="52"/>
      <c r="H123" s="45"/>
      <c r="I123" s="3"/>
      <c r="J123" s="2"/>
      <c r="K123" s="1" t="s">
        <v>44</v>
      </c>
    </row>
    <row r="124" spans="1:11" x14ac:dyDescent="0.4">
      <c r="A124" s="51"/>
      <c r="B124" s="44"/>
      <c r="C124" s="46" t="s">
        <v>102</v>
      </c>
      <c r="D124" s="43"/>
      <c r="E124" s="52">
        <f ca="1">E127*H103/(H103+H112)</f>
        <v>41.532459687096861</v>
      </c>
      <c r="F124" s="43"/>
      <c r="G124" s="52"/>
      <c r="H124" s="45"/>
      <c r="I124" s="10"/>
      <c r="J124" s="3"/>
      <c r="K124" s="1" t="s">
        <v>45</v>
      </c>
    </row>
    <row r="125" spans="1:11" x14ac:dyDescent="0.4">
      <c r="A125" s="140"/>
      <c r="B125" s="52"/>
      <c r="C125" s="46" t="s">
        <v>148</v>
      </c>
      <c r="D125" s="43"/>
      <c r="E125" s="52">
        <f ca="1">E127*H112/(H103+H112)</f>
        <v>9.1750387010398065</v>
      </c>
      <c r="F125" s="43"/>
      <c r="G125" s="52"/>
      <c r="H125" s="45"/>
      <c r="I125" s="10"/>
      <c r="J125" s="3"/>
      <c r="K125" s="2"/>
    </row>
    <row r="126" spans="1:11" x14ac:dyDescent="0.4">
      <c r="A126" s="51"/>
      <c r="B126" s="44"/>
      <c r="C126" s="43"/>
      <c r="D126" s="43"/>
      <c r="E126" s="121" t="s">
        <v>6</v>
      </c>
      <c r="F126" s="43"/>
      <c r="G126" s="136"/>
      <c r="H126" s="45"/>
      <c r="I126" s="10"/>
      <c r="J126" s="3"/>
      <c r="K126" s="2"/>
    </row>
    <row r="127" spans="1:11" x14ac:dyDescent="0.4">
      <c r="A127" s="99"/>
      <c r="B127" s="32"/>
      <c r="C127" s="100" t="s">
        <v>149</v>
      </c>
      <c r="D127" s="32"/>
      <c r="E127" s="102">
        <f ca="1">I139</f>
        <v>50.707498388136671</v>
      </c>
      <c r="F127" s="32"/>
      <c r="G127" s="32"/>
      <c r="H127" s="141"/>
      <c r="I127" s="10"/>
      <c r="J127" s="3"/>
      <c r="K127" s="2"/>
    </row>
    <row r="128" spans="1:11" x14ac:dyDescent="0.4">
      <c r="A128" s="138"/>
      <c r="B128" s="139"/>
      <c r="C128" s="139"/>
      <c r="D128" s="139"/>
      <c r="E128" s="139"/>
      <c r="F128" s="139"/>
      <c r="G128" s="139"/>
      <c r="H128" s="73"/>
      <c r="I128" s="10"/>
      <c r="J128" s="3"/>
      <c r="K128" s="2"/>
    </row>
    <row r="129" spans="1:15" x14ac:dyDescent="0.4">
      <c r="A129" s="51"/>
      <c r="B129" s="46" t="s">
        <v>150</v>
      </c>
      <c r="C129" s="43"/>
      <c r="D129" s="43"/>
      <c r="E129" s="44"/>
      <c r="F129" s="52"/>
      <c r="G129" s="135">
        <f ca="1">IF(E121&gt;0,1-I156,I156)</f>
        <v>0.54957976750144066</v>
      </c>
      <c r="H129" s="45" t="s">
        <v>20</v>
      </c>
      <c r="I129" s="10" t="s">
        <v>184</v>
      </c>
      <c r="J129" s="3"/>
      <c r="K129" s="2"/>
    </row>
    <row r="130" spans="1:15" x14ac:dyDescent="0.4">
      <c r="A130" s="51"/>
      <c r="B130" s="46" t="s">
        <v>151</v>
      </c>
      <c r="C130" s="142"/>
      <c r="D130" s="40">
        <v>0</v>
      </c>
      <c r="E130" s="44" t="str">
        <f>LOWER(RIGHT(G50,LEN(G50)-1))</f>
        <v>porcelet sev.</v>
      </c>
      <c r="F130" s="46" t="s">
        <v>152</v>
      </c>
      <c r="G130" s="135">
        <f ca="1">IF(D130-E121&gt;0,J156,1-J156)</f>
        <v>0.54957976750144066</v>
      </c>
      <c r="H130" s="45"/>
      <c r="I130" s="10" t="s">
        <v>185</v>
      </c>
      <c r="J130" s="2"/>
      <c r="K130" s="2"/>
    </row>
    <row r="131" spans="1:15" x14ac:dyDescent="0.4">
      <c r="A131" s="51"/>
      <c r="B131" s="46"/>
      <c r="C131" s="142"/>
      <c r="D131" s="143"/>
      <c r="E131" s="44"/>
      <c r="F131" s="46"/>
      <c r="G131" s="135"/>
      <c r="H131" s="45"/>
      <c r="I131" s="10" t="s">
        <v>186</v>
      </c>
      <c r="J131" s="2"/>
      <c r="K131" s="2"/>
    </row>
    <row r="132" spans="1:15" x14ac:dyDescent="0.4">
      <c r="A132" s="51"/>
      <c r="B132" s="144" t="s">
        <v>153</v>
      </c>
      <c r="C132" s="142"/>
      <c r="D132" s="145" t="s">
        <v>154</v>
      </c>
      <c r="E132" s="44"/>
      <c r="F132" s="135"/>
      <c r="G132" s="52">
        <f>I150/F115</f>
        <v>0.29398404000098921</v>
      </c>
      <c r="H132" s="146" t="str">
        <f>IF(G132&lt;=0.2499,"faible risque",IF(AND(G132&gt;0.2499,G132&lt;0.4),"risque modéré","risque élevé"))</f>
        <v>risque modéré</v>
      </c>
      <c r="I132" s="10"/>
      <c r="J132" s="2"/>
      <c r="K132" s="2"/>
    </row>
    <row r="133" spans="1:15" x14ac:dyDescent="0.4">
      <c r="A133" s="51"/>
      <c r="B133" s="46"/>
      <c r="C133" s="147"/>
      <c r="D133" s="43"/>
      <c r="E133" s="44"/>
      <c r="F133" s="135"/>
      <c r="G133" s="52"/>
      <c r="H133" s="45"/>
      <c r="I133" s="10"/>
      <c r="J133" s="2"/>
      <c r="K133" s="2"/>
    </row>
    <row r="134" spans="1:15" x14ac:dyDescent="0.4">
      <c r="A134" s="51"/>
      <c r="B134" s="44"/>
      <c r="C134" s="46" t="s">
        <v>155</v>
      </c>
      <c r="D134" s="43"/>
      <c r="E134" s="46" t="s">
        <v>156</v>
      </c>
      <c r="F134" s="43"/>
      <c r="G134" s="136"/>
      <c r="H134" s="45" t="s">
        <v>21</v>
      </c>
      <c r="I134" s="10"/>
      <c r="J134" s="3"/>
      <c r="K134" s="2"/>
    </row>
    <row r="135" spans="1:15" x14ac:dyDescent="0.4">
      <c r="A135" s="51"/>
      <c r="B135" s="43"/>
      <c r="C135" s="44" t="str">
        <f>G50</f>
        <v>/porcelet sev.</v>
      </c>
      <c r="D135" s="43"/>
      <c r="E135" s="44" t="str">
        <f>IF(G50="/porcelet sev.","ce profit par porcelet sev.","ce profit par '[farfeed -french.xls]FARROW'!$AB$59:$AC$59kg")</f>
        <v>ce profit par porcelet sev.</v>
      </c>
      <c r="F135" s="43"/>
      <c r="G135" s="43"/>
      <c r="H135" s="45" t="s">
        <v>22</v>
      </c>
      <c r="I135" s="10"/>
      <c r="J135" s="2"/>
      <c r="K135" s="2"/>
    </row>
    <row r="136" spans="1:15" x14ac:dyDescent="0.4">
      <c r="A136" s="54"/>
      <c r="B136" s="52"/>
      <c r="C136" s="43"/>
      <c r="D136" s="43"/>
      <c r="E136" s="43"/>
      <c r="F136" s="43"/>
      <c r="G136" s="136"/>
      <c r="H136" s="45" t="s">
        <v>23</v>
      </c>
      <c r="I136" s="10"/>
      <c r="J136" s="2"/>
      <c r="K136" s="2"/>
    </row>
    <row r="137" spans="1:15" x14ac:dyDescent="0.4">
      <c r="A137" s="140"/>
      <c r="B137" s="49"/>
      <c r="C137" s="52">
        <f ca="1">(E121+0.97*I151)</f>
        <v>18.294645049660012</v>
      </c>
      <c r="D137" s="43"/>
      <c r="E137" s="46" t="s">
        <v>24</v>
      </c>
      <c r="F137" s="43"/>
      <c r="G137" s="136"/>
      <c r="H137" s="45" t="s">
        <v>25</v>
      </c>
      <c r="I137" s="10"/>
      <c r="J137" s="2"/>
      <c r="K137" s="2"/>
    </row>
    <row r="138" spans="1:15" x14ac:dyDescent="0.4">
      <c r="A138" s="140"/>
      <c r="B138" s="49"/>
      <c r="C138" s="52">
        <f ca="1">(E121+0.43*I151)</f>
        <v>9.269328084288663</v>
      </c>
      <c r="D138" s="43"/>
      <c r="E138" s="46" t="s">
        <v>26</v>
      </c>
      <c r="F138" s="43"/>
      <c r="G138" s="136"/>
      <c r="H138" s="45"/>
      <c r="I138" s="10"/>
      <c r="J138" s="3"/>
      <c r="K138" s="3"/>
    </row>
    <row r="139" spans="1:15" x14ac:dyDescent="0.4">
      <c r="A139" s="140"/>
      <c r="B139" s="49"/>
      <c r="C139" s="52">
        <f ca="1">(E121)</f>
        <v>2.0825016118633268</v>
      </c>
      <c r="D139" s="43"/>
      <c r="E139" s="46" t="s">
        <v>27</v>
      </c>
      <c r="F139" s="44"/>
      <c r="G139" s="136"/>
      <c r="H139" s="45" t="s">
        <v>28</v>
      </c>
      <c r="I139" s="10">
        <f ca="1">(H103+H112-H39-H40)/H13</f>
        <v>50.707498388136671</v>
      </c>
      <c r="J139" s="3"/>
      <c r="K139" s="3"/>
    </row>
    <row r="140" spans="1:15" x14ac:dyDescent="0.4">
      <c r="A140" s="140"/>
      <c r="B140" s="49"/>
      <c r="C140" s="52">
        <f ca="1">(E121-0.43*I151)</f>
        <v>-5.1043248605620084</v>
      </c>
      <c r="D140" s="43"/>
      <c r="E140" s="46" t="s">
        <v>29</v>
      </c>
      <c r="F140" s="44"/>
      <c r="G140" s="136"/>
      <c r="H140" s="45" t="s">
        <v>30</v>
      </c>
      <c r="I140" s="10"/>
      <c r="J140" s="3"/>
      <c r="K140" s="3"/>
    </row>
    <row r="141" spans="1:15" x14ac:dyDescent="0.4">
      <c r="A141" s="140"/>
      <c r="B141" s="49"/>
      <c r="C141" s="52">
        <f ca="1">(E121-0.97*I151)</f>
        <v>-14.12964182593336</v>
      </c>
      <c r="D141" s="43"/>
      <c r="E141" s="46" t="s">
        <v>31</v>
      </c>
      <c r="F141" s="44"/>
      <c r="G141" s="136"/>
      <c r="H141" s="45" t="s">
        <v>32</v>
      </c>
      <c r="I141" s="10"/>
      <c r="J141" s="3"/>
      <c r="K141" s="3"/>
    </row>
    <row r="142" spans="1:15" x14ac:dyDescent="0.4">
      <c r="A142" s="99"/>
      <c r="B142" s="32"/>
      <c r="C142" s="32"/>
      <c r="D142" s="102"/>
      <c r="E142" s="32"/>
      <c r="F142" s="33"/>
      <c r="G142" s="32"/>
      <c r="H142" s="141" t="s">
        <v>33</v>
      </c>
      <c r="I142" s="10"/>
      <c r="J142" s="3"/>
      <c r="K142" s="3"/>
    </row>
    <row r="143" spans="1:15" x14ac:dyDescent="0.4">
      <c r="A143" s="148" t="s">
        <v>192</v>
      </c>
      <c r="B143" s="149"/>
      <c r="C143" s="150"/>
      <c r="D143" s="150"/>
      <c r="E143" s="151"/>
      <c r="F143" s="150"/>
      <c r="G143" s="150"/>
      <c r="H143" s="152"/>
      <c r="I143" s="10"/>
      <c r="J143" s="3"/>
      <c r="K143" s="12" t="s">
        <v>47</v>
      </c>
      <c r="L143" s="13" t="s">
        <v>49</v>
      </c>
      <c r="M143" s="13" t="s">
        <v>48</v>
      </c>
      <c r="N143" s="7" t="s">
        <v>50</v>
      </c>
      <c r="O143" s="7" t="s">
        <v>52</v>
      </c>
    </row>
    <row r="144" spans="1:15" x14ac:dyDescent="0.4">
      <c r="A144" s="153"/>
      <c r="B144" s="154"/>
      <c r="C144" s="155"/>
      <c r="D144" s="155"/>
      <c r="E144" s="156"/>
      <c r="F144" s="155"/>
      <c r="G144" s="155"/>
      <c r="H144" s="157"/>
      <c r="I144" s="9">
        <f>((F32*(E29-G29)/2)^2+(F29*(E32-G32))^2+((E32-G32)*(E29-G29)/2)^2)</f>
        <v>15739862549.867601</v>
      </c>
      <c r="J144" s="15" t="s">
        <v>175</v>
      </c>
      <c r="K144" s="12">
        <f>E32*E29</f>
        <v>435050</v>
      </c>
      <c r="L144" s="13">
        <f>G32*G29</f>
        <v>204732</v>
      </c>
      <c r="M144" s="13">
        <f>F32*F29</f>
        <v>409386.45</v>
      </c>
      <c r="N144" s="7">
        <f>STDEV(K144:L144)</f>
        <v>162859.41962932327</v>
      </c>
      <c r="O144" s="13">
        <f>K144-L144</f>
        <v>230318</v>
      </c>
    </row>
    <row r="145" spans="1:15" x14ac:dyDescent="0.4">
      <c r="A145" s="158"/>
      <c r="B145" s="159"/>
      <c r="C145" s="159"/>
      <c r="D145" s="159"/>
      <c r="E145" s="159"/>
      <c r="F145" s="159"/>
      <c r="G145" s="159"/>
      <c r="H145" s="160"/>
      <c r="I145" s="10"/>
      <c r="J145" s="15"/>
      <c r="K145" s="12"/>
      <c r="L145" s="13"/>
      <c r="M145" s="13"/>
    </row>
    <row r="146" spans="1:15" x14ac:dyDescent="0.4">
      <c r="A146" s="161"/>
      <c r="B146" s="162" t="s">
        <v>159</v>
      </c>
      <c r="C146" s="162"/>
      <c r="D146" s="163"/>
      <c r="E146" s="162"/>
      <c r="F146" s="162"/>
      <c r="G146" s="162"/>
      <c r="H146" s="164"/>
      <c r="I146" s="10"/>
      <c r="J146" s="15"/>
      <c r="K146" s="12"/>
      <c r="L146" s="13"/>
      <c r="M146" s="13"/>
    </row>
    <row r="147" spans="1:15" x14ac:dyDescent="0.4">
      <c r="A147" s="165"/>
      <c r="B147" s="162"/>
      <c r="C147" s="162"/>
      <c r="D147" s="162"/>
      <c r="E147" s="162"/>
      <c r="F147" s="162"/>
      <c r="G147" s="162"/>
      <c r="H147" s="164"/>
      <c r="I147" s="10">
        <f>(D40*(E31-G31)/2)^2</f>
        <v>0</v>
      </c>
      <c r="J147" s="15" t="s">
        <v>58</v>
      </c>
      <c r="K147" s="13">
        <f>D40*E31</f>
        <v>0</v>
      </c>
      <c r="L147" s="7">
        <f>D40*G31</f>
        <v>0</v>
      </c>
      <c r="M147" s="13">
        <f>D40*F31</f>
        <v>0</v>
      </c>
      <c r="N147" s="7">
        <f>STDEV(K147:L147)</f>
        <v>0</v>
      </c>
      <c r="O147" s="13">
        <f>K147-L147</f>
        <v>0</v>
      </c>
    </row>
    <row r="148" spans="1:15" x14ac:dyDescent="0.4">
      <c r="A148" s="166"/>
      <c r="B148" s="162"/>
      <c r="C148" s="162"/>
      <c r="D148" s="166" t="s">
        <v>157</v>
      </c>
      <c r="E148" s="167"/>
      <c r="F148" s="167"/>
      <c r="G148" s="162"/>
      <c r="H148" s="164"/>
      <c r="I148" s="10">
        <f>(D39*(E30-G30)/2)^2</f>
        <v>99500625</v>
      </c>
      <c r="J148" s="15" t="s">
        <v>56</v>
      </c>
      <c r="K148" s="12">
        <f>D39*E30</f>
        <v>31500</v>
      </c>
      <c r="L148" s="13">
        <f>D39*G30</f>
        <v>11550</v>
      </c>
      <c r="M148" s="13">
        <f>D39*F30</f>
        <v>31500</v>
      </c>
      <c r="N148" s="7">
        <f>STDEV(K148:L148)</f>
        <v>14106.780284671622</v>
      </c>
      <c r="O148" s="13">
        <f>K148-L148</f>
        <v>19950</v>
      </c>
    </row>
    <row r="149" spans="1:15" x14ac:dyDescent="0.4">
      <c r="A149" s="168"/>
      <c r="B149" s="162"/>
      <c r="C149" s="162"/>
      <c r="D149" s="166" t="s">
        <v>193</v>
      </c>
      <c r="E149" s="167"/>
      <c r="F149" s="167"/>
      <c r="G149" s="162"/>
      <c r="H149" s="164"/>
      <c r="I149" s="10">
        <f>((F34/100)*SUM(H53:H61))^2</f>
        <v>960316881.4404</v>
      </c>
      <c r="J149" s="16" t="s">
        <v>51</v>
      </c>
      <c r="K149" s="12">
        <f>H71*(F34/100+1)</f>
        <v>185933.87999999998</v>
      </c>
      <c r="L149" s="13">
        <f>H71*(1-F34/100)</f>
        <v>123955.92</v>
      </c>
      <c r="M149" s="13">
        <f>H71</f>
        <v>154944.9</v>
      </c>
      <c r="N149" s="7">
        <f>STDEV(K149:L149)</f>
        <v>43825.035800108577</v>
      </c>
      <c r="O149" s="13">
        <f>K149-L149</f>
        <v>61977.959999999977</v>
      </c>
    </row>
    <row r="150" spans="1:15" x14ac:dyDescent="0.4">
      <c r="A150" s="165"/>
      <c r="B150" s="162"/>
      <c r="C150" s="162"/>
      <c r="D150" s="169" t="s">
        <v>187</v>
      </c>
      <c r="E150" s="167"/>
      <c r="F150" s="167"/>
      <c r="G150" s="162"/>
      <c r="H150" s="164"/>
      <c r="I150" s="10">
        <f>SQRT(SUM(I143:I149)+2*(I147*I148)^0.5)</f>
        <v>129613.57975269413</v>
      </c>
      <c r="J150" s="3"/>
      <c r="K150" s="12">
        <f>SUM(K144:K149)</f>
        <v>652483.88</v>
      </c>
      <c r="L150" s="12">
        <f>SUM(L144:L149)</f>
        <v>340237.92</v>
      </c>
      <c r="M150" s="12">
        <f>SUM(M144:M149)</f>
        <v>595831.35</v>
      </c>
    </row>
    <row r="151" spans="1:15" x14ac:dyDescent="0.4">
      <c r="A151" s="165"/>
      <c r="B151" s="162"/>
      <c r="C151" s="162"/>
      <c r="D151" s="170" t="s">
        <v>158</v>
      </c>
      <c r="E151" s="167"/>
      <c r="F151" s="167"/>
      <c r="G151" s="162"/>
      <c r="H151" s="164"/>
      <c r="I151" s="10">
        <f>I150/G52</f>
        <v>16.713549935872873</v>
      </c>
      <c r="J151" s="3"/>
      <c r="K151" s="12">
        <f>STDEV(K150:M150)</f>
        <v>166350.5586359158</v>
      </c>
      <c r="L151" s="13"/>
      <c r="M151" s="13"/>
    </row>
    <row r="152" spans="1:15" x14ac:dyDescent="0.4">
      <c r="A152" s="18"/>
      <c r="B152" s="19"/>
      <c r="C152" s="19"/>
      <c r="D152" s="20"/>
      <c r="E152" s="21"/>
      <c r="F152" s="21"/>
      <c r="G152" s="22"/>
      <c r="H152" s="23"/>
      <c r="I152" s="10"/>
      <c r="J152" s="3"/>
      <c r="K152" s="12"/>
      <c r="L152" s="13"/>
      <c r="M152" s="13"/>
    </row>
    <row r="153" spans="1:15" x14ac:dyDescent="0.4">
      <c r="A153" s="24" t="s">
        <v>189</v>
      </c>
      <c r="B153" s="171"/>
      <c r="C153" s="171"/>
      <c r="D153" s="24"/>
      <c r="E153" s="24"/>
      <c r="F153" s="172"/>
      <c r="G153" s="172"/>
      <c r="H153" s="171"/>
      <c r="I153" s="10">
        <f ca="1">ABS(E121/I151)</f>
        <v>0.12459959852057409</v>
      </c>
      <c r="J153" s="3">
        <f ca="1">ABS((E121-D130)/I151)</f>
        <v>0.12459959852057409</v>
      </c>
      <c r="K153" s="12"/>
      <c r="L153" s="13"/>
      <c r="M153" s="13"/>
    </row>
    <row r="154" spans="1:15" x14ac:dyDescent="0.4">
      <c r="A154" s="173"/>
      <c r="D154" s="173"/>
      <c r="F154" s="173"/>
      <c r="H154" s="174"/>
      <c r="I154" s="10">
        <f ca="1">1/(1+(0.2316419*I153))</f>
        <v>0.97194718625233667</v>
      </c>
      <c r="J154" s="3">
        <f ca="1">1/(1+(0.2316419*J153))</f>
        <v>0.97194718625233667</v>
      </c>
      <c r="K154" s="14"/>
      <c r="L154" s="13"/>
      <c r="M154" s="13"/>
    </row>
    <row r="155" spans="1:15" x14ac:dyDescent="0.4">
      <c r="A155" s="173"/>
      <c r="D155" s="173"/>
      <c r="F155" s="173"/>
      <c r="I155" s="10">
        <f ca="1">0.398942281*EXP(I153^2/-2)</f>
        <v>0.39585746805171868</v>
      </c>
      <c r="J155" s="3">
        <f ca="1">0.398942281*EXP(J153^2/-2)</f>
        <v>0.39585746805171868</v>
      </c>
      <c r="K155" s="14"/>
      <c r="L155" s="13"/>
      <c r="M155" s="13"/>
    </row>
    <row r="156" spans="1:15" x14ac:dyDescent="0.4">
      <c r="A156" s="173"/>
      <c r="D156" s="175"/>
      <c r="F156" s="173"/>
      <c r="H156" s="174"/>
      <c r="I156" s="10">
        <f ca="1">I155*(0.31938153*I154-0.356563782*I154^2+1.781477937*I154^3-1.821255978*I154^4+1.330274429*I154^5)</f>
        <v>0.45042023249855939</v>
      </c>
      <c r="J156" s="3">
        <f ca="1">J155*(0.31938153*J154-0.356563782*J154^2+1.781477937*J154^3-1.821255978*J154^4+1.330274429*J154^5)</f>
        <v>0.45042023249855939</v>
      </c>
      <c r="K156" s="14"/>
      <c r="L156" s="13"/>
      <c r="M156" s="13"/>
    </row>
    <row r="157" spans="1:15" x14ac:dyDescent="0.4">
      <c r="F157" s="173"/>
      <c r="H157" s="176"/>
      <c r="I157" s="11"/>
      <c r="J157" s="2"/>
      <c r="K157" s="2"/>
    </row>
    <row r="158" spans="1:15" x14ac:dyDescent="0.4">
      <c r="A158" s="173"/>
      <c r="I158" s="11"/>
      <c r="J158" s="2"/>
      <c r="K158" s="2"/>
    </row>
    <row r="159" spans="1:15" x14ac:dyDescent="0.4">
      <c r="A159" s="173"/>
      <c r="I159" s="11"/>
      <c r="J159" s="2"/>
      <c r="K159" s="2"/>
    </row>
    <row r="160" spans="1:15" x14ac:dyDescent="0.4">
      <c r="A160" s="173"/>
      <c r="H160" s="176"/>
      <c r="I160" s="11"/>
      <c r="J160" s="2"/>
      <c r="K160" s="2"/>
    </row>
    <row r="161" spans="4:11" x14ac:dyDescent="0.4">
      <c r="D161" s="173"/>
      <c r="H161" s="177"/>
      <c r="I161" s="11"/>
      <c r="J161" s="2"/>
      <c r="K161" s="2"/>
    </row>
    <row r="162" spans="4:11" x14ac:dyDescent="0.4">
      <c r="I162" s="2"/>
      <c r="J162" s="2"/>
      <c r="K162" s="2"/>
    </row>
    <row r="163" spans="4:11" x14ac:dyDescent="0.4">
      <c r="I163" s="2"/>
      <c r="J163" s="2"/>
      <c r="K163" s="2"/>
    </row>
    <row r="164" spans="4:11" x14ac:dyDescent="0.4">
      <c r="I164" s="2"/>
      <c r="J164" s="2"/>
      <c r="K164" s="2"/>
    </row>
    <row r="165" spans="4:11" x14ac:dyDescent="0.4">
      <c r="I165" s="2"/>
      <c r="J165" s="2"/>
      <c r="K165" s="2"/>
    </row>
    <row r="166" spans="4:11" x14ac:dyDescent="0.4">
      <c r="I166" s="2"/>
      <c r="J166" s="2"/>
      <c r="K166" s="2"/>
    </row>
    <row r="167" spans="4:11" x14ac:dyDescent="0.4">
      <c r="I167" s="2"/>
      <c r="J167" s="2"/>
      <c r="K167" s="2"/>
    </row>
    <row r="168" spans="4:11" x14ac:dyDescent="0.4">
      <c r="I168" s="2"/>
      <c r="J168" s="2"/>
      <c r="K168" s="2"/>
    </row>
    <row r="169" spans="4:11" x14ac:dyDescent="0.4">
      <c r="I169" s="2"/>
      <c r="J169" s="2"/>
      <c r="K169" s="2"/>
    </row>
    <row r="170" spans="4:11" x14ac:dyDescent="0.4">
      <c r="I170" s="2"/>
      <c r="J170" s="2"/>
      <c r="K170" s="2"/>
    </row>
    <row r="171" spans="4:11" x14ac:dyDescent="0.4">
      <c r="I171" s="2"/>
      <c r="J171" s="2"/>
      <c r="K171" s="2"/>
    </row>
    <row r="172" spans="4:11" x14ac:dyDescent="0.4">
      <c r="I172" s="2"/>
      <c r="J172" s="2"/>
      <c r="K172" s="2"/>
    </row>
    <row r="173" spans="4:11" x14ac:dyDescent="0.4">
      <c r="I173" s="2"/>
      <c r="J173" s="2"/>
      <c r="K173" s="2"/>
    </row>
    <row r="174" spans="4:11" x14ac:dyDescent="0.4">
      <c r="I174" s="2"/>
      <c r="J174" s="2"/>
      <c r="K174" s="2"/>
    </row>
    <row r="175" spans="4:11" x14ac:dyDescent="0.4">
      <c r="I175" s="2"/>
      <c r="J175" s="2"/>
      <c r="K175" s="2"/>
    </row>
    <row r="176" spans="4:11" x14ac:dyDescent="0.4">
      <c r="I176" s="2"/>
      <c r="J176" s="2"/>
      <c r="K176" s="2"/>
    </row>
    <row r="177" spans="9:11" x14ac:dyDescent="0.4">
      <c r="I177" s="2"/>
      <c r="J177" s="2"/>
      <c r="K177" s="2"/>
    </row>
    <row r="178" spans="9:11" x14ac:dyDescent="0.4">
      <c r="I178" s="2"/>
      <c r="J178" s="2"/>
      <c r="K178" s="2"/>
    </row>
    <row r="179" spans="9:11" x14ac:dyDescent="0.4">
      <c r="I179" s="2"/>
      <c r="J179" s="2"/>
      <c r="K179" s="2"/>
    </row>
    <row r="180" spans="9:11" x14ac:dyDescent="0.4">
      <c r="I180" s="2"/>
      <c r="J180" s="2"/>
      <c r="K180" s="2"/>
    </row>
    <row r="181" spans="9:11" x14ac:dyDescent="0.4">
      <c r="I181" s="2"/>
      <c r="J181" s="2"/>
      <c r="K181" s="2"/>
    </row>
    <row r="182" spans="9:11" x14ac:dyDescent="0.4">
      <c r="I182" s="2"/>
      <c r="J182" s="2"/>
      <c r="K182" s="2"/>
    </row>
    <row r="183" spans="9:11" x14ac:dyDescent="0.4">
      <c r="I183" s="2"/>
      <c r="J183" s="2"/>
      <c r="K183" s="2"/>
    </row>
    <row r="184" spans="9:11" x14ac:dyDescent="0.4">
      <c r="I184" s="2"/>
      <c r="J184" s="2"/>
      <c r="K184" s="2"/>
    </row>
    <row r="185" spans="9:11" x14ac:dyDescent="0.4">
      <c r="I185" s="2"/>
      <c r="J185" s="2"/>
      <c r="K185" s="2"/>
    </row>
    <row r="186" spans="9:11" x14ac:dyDescent="0.4">
      <c r="I186" s="2"/>
      <c r="J186" s="2"/>
      <c r="K186" s="2"/>
    </row>
    <row r="187" spans="9:11" x14ac:dyDescent="0.4">
      <c r="I187" s="2"/>
      <c r="J187" s="2"/>
      <c r="K187" s="2"/>
    </row>
    <row r="188" spans="9:11" x14ac:dyDescent="0.4">
      <c r="I188" s="2"/>
      <c r="J188" s="2"/>
      <c r="K188" s="2"/>
    </row>
    <row r="189" spans="9:11" x14ac:dyDescent="0.4">
      <c r="I189" s="2"/>
      <c r="J189" s="2"/>
      <c r="K189" s="2"/>
    </row>
    <row r="190" spans="9:11" x14ac:dyDescent="0.4">
      <c r="I190" s="2"/>
      <c r="J190" s="2"/>
      <c r="K190" s="2"/>
    </row>
    <row r="191" spans="9:11" x14ac:dyDescent="0.4">
      <c r="I191" s="2"/>
      <c r="J191" s="2"/>
      <c r="K191" s="2"/>
    </row>
    <row r="192" spans="9:11" x14ac:dyDescent="0.4">
      <c r="I192" s="2"/>
      <c r="J192" s="2"/>
      <c r="K192" s="2"/>
    </row>
    <row r="193" spans="9:11" x14ac:dyDescent="0.4">
      <c r="I193" s="2"/>
      <c r="J193" s="2"/>
      <c r="K193" s="2"/>
    </row>
    <row r="194" spans="9:11" x14ac:dyDescent="0.4">
      <c r="I194" s="2"/>
      <c r="J194" s="2"/>
      <c r="K194" s="2"/>
    </row>
    <row r="195" spans="9:11" x14ac:dyDescent="0.4">
      <c r="I195" s="2"/>
      <c r="J195" s="2"/>
      <c r="K195" s="2"/>
    </row>
    <row r="196" spans="9:11" x14ac:dyDescent="0.4">
      <c r="I196" s="2"/>
      <c r="J196" s="2"/>
      <c r="K196" s="2"/>
    </row>
    <row r="197" spans="9:11" x14ac:dyDescent="0.4">
      <c r="I197" s="2"/>
      <c r="J197" s="2"/>
      <c r="K197" s="2"/>
    </row>
    <row r="198" spans="9:11" x14ac:dyDescent="0.4">
      <c r="I198" s="2"/>
      <c r="J198" s="2"/>
      <c r="K198" s="2"/>
    </row>
    <row r="199" spans="9:11" x14ac:dyDescent="0.4">
      <c r="I199" s="2"/>
      <c r="J199" s="2"/>
      <c r="K199" s="2"/>
    </row>
    <row r="200" spans="9:11" x14ac:dyDescent="0.4">
      <c r="I200" s="2"/>
      <c r="J200" s="2"/>
      <c r="K200" s="2"/>
    </row>
    <row r="201" spans="9:11" x14ac:dyDescent="0.4">
      <c r="I201" s="2"/>
      <c r="J201" s="2"/>
      <c r="K201" s="2"/>
    </row>
    <row r="202" spans="9:11" x14ac:dyDescent="0.4">
      <c r="I202" s="2"/>
      <c r="J202" s="2"/>
      <c r="K202" s="2"/>
    </row>
    <row r="203" spans="9:11" x14ac:dyDescent="0.4">
      <c r="I203" s="2"/>
      <c r="J203" s="2"/>
      <c r="K203" s="2"/>
    </row>
    <row r="204" spans="9:11" x14ac:dyDescent="0.4">
      <c r="I204" s="2"/>
      <c r="J204" s="2"/>
      <c r="K204" s="2"/>
    </row>
    <row r="205" spans="9:11" x14ac:dyDescent="0.4">
      <c r="I205" s="2"/>
      <c r="J205" s="2"/>
      <c r="K205" s="2"/>
    </row>
    <row r="206" spans="9:11" x14ac:dyDescent="0.4">
      <c r="I206" s="2"/>
      <c r="J206" s="2"/>
      <c r="K206" s="2"/>
    </row>
    <row r="207" spans="9:11" x14ac:dyDescent="0.4">
      <c r="I207" s="2"/>
      <c r="J207" s="2"/>
      <c r="K207" s="2"/>
    </row>
    <row r="208" spans="9:11" x14ac:dyDescent="0.4">
      <c r="I208" s="2"/>
      <c r="J208" s="2"/>
      <c r="K208" s="2"/>
    </row>
    <row r="209" spans="9:11" x14ac:dyDescent="0.4">
      <c r="I209" s="2"/>
      <c r="J209" s="2"/>
      <c r="K209" s="2"/>
    </row>
    <row r="210" spans="9:11" x14ac:dyDescent="0.4">
      <c r="I210" s="2"/>
      <c r="J210" s="2"/>
      <c r="K210" s="2"/>
    </row>
    <row r="211" spans="9:11" x14ac:dyDescent="0.4">
      <c r="I211" s="2"/>
      <c r="J211" s="2"/>
      <c r="K211" s="2"/>
    </row>
    <row r="212" spans="9:11" x14ac:dyDescent="0.4">
      <c r="I212" s="2"/>
      <c r="J212" s="2"/>
      <c r="K212" s="2"/>
    </row>
    <row r="213" spans="9:11" x14ac:dyDescent="0.4">
      <c r="I213" s="2"/>
      <c r="J213" s="2"/>
      <c r="K213" s="2"/>
    </row>
    <row r="214" spans="9:11" x14ac:dyDescent="0.4">
      <c r="I214" s="2"/>
      <c r="J214" s="2"/>
      <c r="K214" s="2"/>
    </row>
    <row r="215" spans="9:11" x14ac:dyDescent="0.4">
      <c r="I215" s="2"/>
      <c r="J215" s="2"/>
      <c r="K215" s="2"/>
    </row>
    <row r="216" spans="9:11" x14ac:dyDescent="0.4">
      <c r="I216" s="2"/>
      <c r="J216" s="2"/>
      <c r="K216" s="2"/>
    </row>
    <row r="217" spans="9:11" x14ac:dyDescent="0.4">
      <c r="I217" s="2"/>
      <c r="J217" s="2"/>
      <c r="K217" s="2"/>
    </row>
    <row r="218" spans="9:11" x14ac:dyDescent="0.4">
      <c r="I218" s="2"/>
      <c r="J218" s="2"/>
      <c r="K218" s="2"/>
    </row>
    <row r="219" spans="9:11" x14ac:dyDescent="0.4">
      <c r="I219" s="2"/>
      <c r="J219" s="2"/>
      <c r="K219" s="2"/>
    </row>
    <row r="220" spans="9:11" x14ac:dyDescent="0.4">
      <c r="I220" s="2"/>
      <c r="J220" s="2"/>
      <c r="K220" s="2"/>
    </row>
    <row r="221" spans="9:11" x14ac:dyDescent="0.4">
      <c r="I221" s="2"/>
      <c r="J221" s="2"/>
      <c r="K221" s="2"/>
    </row>
    <row r="222" spans="9:11" x14ac:dyDescent="0.4">
      <c r="I222" s="2"/>
      <c r="J222" s="2"/>
      <c r="K222" s="2"/>
    </row>
    <row r="223" spans="9:11" x14ac:dyDescent="0.4">
      <c r="I223" s="2"/>
      <c r="J223" s="2"/>
      <c r="K223" s="2"/>
    </row>
    <row r="224" spans="9:11" x14ac:dyDescent="0.4">
      <c r="I224" s="2"/>
      <c r="J224" s="2"/>
      <c r="K224" s="2"/>
    </row>
    <row r="225" spans="9:11" x14ac:dyDescent="0.4">
      <c r="I225" s="2"/>
      <c r="J225" s="2"/>
      <c r="K225" s="2"/>
    </row>
    <row r="226" spans="9:11" x14ac:dyDescent="0.4">
      <c r="I226" s="2"/>
      <c r="J226" s="2"/>
      <c r="K226" s="2"/>
    </row>
    <row r="227" spans="9:11" x14ac:dyDescent="0.4">
      <c r="I227" s="2"/>
      <c r="J227" s="2"/>
      <c r="K227" s="2"/>
    </row>
    <row r="228" spans="9:11" x14ac:dyDescent="0.4">
      <c r="I228" s="2"/>
      <c r="J228" s="2"/>
      <c r="K228" s="2"/>
    </row>
    <row r="229" spans="9:11" x14ac:dyDescent="0.4">
      <c r="I229" s="2"/>
      <c r="J229" s="2"/>
      <c r="K229" s="2"/>
    </row>
    <row r="230" spans="9:11" x14ac:dyDescent="0.4">
      <c r="I230" s="2"/>
      <c r="J230" s="2"/>
      <c r="K230" s="2"/>
    </row>
    <row r="231" spans="9:11" x14ac:dyDescent="0.4">
      <c r="I231" s="2"/>
      <c r="J231" s="2"/>
      <c r="K231" s="2"/>
    </row>
    <row r="232" spans="9:11" x14ac:dyDescent="0.4">
      <c r="I232" s="2"/>
      <c r="J232" s="2"/>
      <c r="K232" s="2"/>
    </row>
    <row r="233" spans="9:11" x14ac:dyDescent="0.4">
      <c r="I233" s="2"/>
      <c r="J233" s="2"/>
      <c r="K233" s="2"/>
    </row>
    <row r="234" spans="9:11" x14ac:dyDescent="0.4">
      <c r="I234" s="2"/>
      <c r="J234" s="2"/>
      <c r="K234" s="2"/>
    </row>
    <row r="235" spans="9:11" x14ac:dyDescent="0.4">
      <c r="I235" s="2"/>
      <c r="J235" s="2"/>
      <c r="K235" s="2"/>
    </row>
    <row r="236" spans="9:11" x14ac:dyDescent="0.4">
      <c r="I236" s="2"/>
      <c r="J236" s="2"/>
      <c r="K236" s="2"/>
    </row>
    <row r="237" spans="9:11" x14ac:dyDescent="0.4">
      <c r="I237" s="2"/>
      <c r="J237" s="2"/>
      <c r="K237" s="2"/>
    </row>
    <row r="238" spans="9:11" x14ac:dyDescent="0.4">
      <c r="I238" s="2"/>
      <c r="J238" s="2"/>
      <c r="K238" s="2"/>
    </row>
    <row r="239" spans="9:11" x14ac:dyDescent="0.4">
      <c r="I239" s="2"/>
      <c r="J239" s="2"/>
      <c r="K239" s="2"/>
    </row>
    <row r="240" spans="9:11" x14ac:dyDescent="0.4">
      <c r="I240" s="2"/>
      <c r="J240" s="2"/>
      <c r="K240" s="2"/>
    </row>
    <row r="241" spans="9:11" x14ac:dyDescent="0.4">
      <c r="I241" s="2"/>
      <c r="J241" s="2"/>
      <c r="K241" s="2"/>
    </row>
    <row r="242" spans="9:11" x14ac:dyDescent="0.4">
      <c r="I242" s="2"/>
      <c r="J242" s="2"/>
      <c r="K242" s="2"/>
    </row>
    <row r="243" spans="9:11" x14ac:dyDescent="0.4">
      <c r="I243" s="2"/>
      <c r="J243" s="2"/>
      <c r="K243" s="2"/>
    </row>
    <row r="244" spans="9:11" x14ac:dyDescent="0.4">
      <c r="I244" s="2"/>
      <c r="J244" s="2"/>
      <c r="K244" s="2"/>
    </row>
    <row r="245" spans="9:11" x14ac:dyDescent="0.4">
      <c r="I245" s="2"/>
      <c r="J245" s="2"/>
      <c r="K245" s="2"/>
    </row>
    <row r="246" spans="9:11" x14ac:dyDescent="0.4">
      <c r="I246" s="2"/>
      <c r="J246" s="2"/>
      <c r="K246" s="2"/>
    </row>
    <row r="247" spans="9:11" x14ac:dyDescent="0.4">
      <c r="I247" s="2"/>
      <c r="J247" s="2"/>
      <c r="K247" s="2"/>
    </row>
    <row r="248" spans="9:11" x14ac:dyDescent="0.4">
      <c r="I248" s="2"/>
      <c r="J248" s="2"/>
      <c r="K248" s="2"/>
    </row>
    <row r="249" spans="9:11" x14ac:dyDescent="0.4">
      <c r="I249" s="2"/>
      <c r="J249" s="2"/>
      <c r="K249" s="2"/>
    </row>
    <row r="250" spans="9:11" x14ac:dyDescent="0.4">
      <c r="I250" s="2"/>
      <c r="J250" s="2"/>
      <c r="K250" s="2"/>
    </row>
    <row r="251" spans="9:11" x14ac:dyDescent="0.4">
      <c r="I251" s="2"/>
      <c r="J251" s="2"/>
      <c r="K251" s="2"/>
    </row>
    <row r="252" spans="9:11" x14ac:dyDescent="0.4">
      <c r="I252" s="2"/>
      <c r="J252" s="2"/>
      <c r="K252" s="2"/>
    </row>
    <row r="253" spans="9:11" x14ac:dyDescent="0.4">
      <c r="I253" s="2"/>
      <c r="J253" s="2"/>
      <c r="K253" s="2"/>
    </row>
    <row r="254" spans="9:11" x14ac:dyDescent="0.4">
      <c r="I254" s="2"/>
      <c r="J254" s="2"/>
      <c r="K254" s="2"/>
    </row>
    <row r="255" spans="9:11" x14ac:dyDescent="0.4">
      <c r="I255" s="2"/>
      <c r="J255" s="2"/>
      <c r="K255" s="2"/>
    </row>
    <row r="256" spans="9:11" x14ac:dyDescent="0.4">
      <c r="I256" s="2"/>
      <c r="J256" s="2"/>
      <c r="K256" s="2"/>
    </row>
    <row r="257" spans="9:11" x14ac:dyDescent="0.4">
      <c r="I257" s="2"/>
      <c r="J257" s="2"/>
      <c r="K257" s="2"/>
    </row>
    <row r="258" spans="9:11" x14ac:dyDescent="0.4">
      <c r="I258" s="2"/>
      <c r="J258" s="2"/>
      <c r="K258" s="2"/>
    </row>
    <row r="259" spans="9:11" x14ac:dyDescent="0.4">
      <c r="I259" s="2"/>
      <c r="J259" s="2"/>
      <c r="K259" s="2"/>
    </row>
    <row r="260" spans="9:11" x14ac:dyDescent="0.4">
      <c r="I260" s="2"/>
      <c r="J260" s="2"/>
      <c r="K260" s="2"/>
    </row>
    <row r="261" spans="9:11" x14ac:dyDescent="0.4">
      <c r="I261" s="2"/>
      <c r="J261" s="2"/>
      <c r="K261" s="2"/>
    </row>
    <row r="262" spans="9:11" x14ac:dyDescent="0.4">
      <c r="I262" s="2"/>
      <c r="J262" s="2"/>
      <c r="K262" s="2"/>
    </row>
    <row r="263" spans="9:11" x14ac:dyDescent="0.4">
      <c r="I263" s="2"/>
      <c r="J263" s="2"/>
      <c r="K263" s="2"/>
    </row>
    <row r="264" spans="9:11" x14ac:dyDescent="0.4">
      <c r="I264" s="2"/>
      <c r="J264" s="2"/>
      <c r="K264" s="2"/>
    </row>
    <row r="265" spans="9:11" x14ac:dyDescent="0.4">
      <c r="I265" s="2"/>
      <c r="J265" s="2"/>
      <c r="K265" s="2"/>
    </row>
    <row r="266" spans="9:11" x14ac:dyDescent="0.4">
      <c r="I266" s="2"/>
      <c r="J266" s="2"/>
      <c r="K266" s="2"/>
    </row>
    <row r="267" spans="9:11" x14ac:dyDescent="0.4">
      <c r="I267" s="2"/>
      <c r="J267" s="2"/>
      <c r="K267" s="2"/>
    </row>
    <row r="268" spans="9:11" x14ac:dyDescent="0.4">
      <c r="I268" s="2"/>
      <c r="J268" s="2"/>
      <c r="K268" s="2"/>
    </row>
    <row r="269" spans="9:11" x14ac:dyDescent="0.4">
      <c r="I269" s="2"/>
      <c r="J269" s="2"/>
      <c r="K269" s="2"/>
    </row>
    <row r="270" spans="9:11" x14ac:dyDescent="0.4">
      <c r="I270" s="2"/>
      <c r="J270" s="2"/>
      <c r="K270" s="2"/>
    </row>
    <row r="271" spans="9:11" x14ac:dyDescent="0.4">
      <c r="I271" s="2"/>
      <c r="J271" s="2"/>
      <c r="K271" s="2"/>
    </row>
    <row r="272" spans="9:11" x14ac:dyDescent="0.4">
      <c r="I272" s="2"/>
      <c r="J272" s="2"/>
      <c r="K272" s="2"/>
    </row>
    <row r="273" spans="9:11" x14ac:dyDescent="0.4">
      <c r="I273" s="2"/>
      <c r="J273" s="2"/>
      <c r="K273" s="2"/>
    </row>
    <row r="274" spans="9:11" x14ac:dyDescent="0.4">
      <c r="I274" s="2"/>
      <c r="J274" s="2"/>
      <c r="K274" s="2"/>
    </row>
    <row r="275" spans="9:11" x14ac:dyDescent="0.4">
      <c r="I275" s="2"/>
      <c r="J275" s="2"/>
      <c r="K275" s="2"/>
    </row>
    <row r="276" spans="9:11" x14ac:dyDescent="0.4">
      <c r="I276" s="2"/>
      <c r="J276" s="2"/>
      <c r="K276" s="2"/>
    </row>
    <row r="277" spans="9:11" x14ac:dyDescent="0.4">
      <c r="I277" s="2"/>
      <c r="J277" s="2"/>
      <c r="K277" s="2"/>
    </row>
    <row r="278" spans="9:11" x14ac:dyDescent="0.4">
      <c r="I278" s="2"/>
      <c r="J278" s="2"/>
      <c r="K278" s="2"/>
    </row>
    <row r="279" spans="9:11" x14ac:dyDescent="0.4">
      <c r="I279" s="2"/>
      <c r="J279" s="2"/>
      <c r="K279" s="2"/>
    </row>
    <row r="280" spans="9:11" x14ac:dyDescent="0.4">
      <c r="I280" s="2"/>
      <c r="J280" s="2"/>
      <c r="K280" s="2"/>
    </row>
    <row r="281" spans="9:11" x14ac:dyDescent="0.4">
      <c r="I281" s="2"/>
      <c r="J281" s="2"/>
      <c r="K281" s="2"/>
    </row>
    <row r="282" spans="9:11" x14ac:dyDescent="0.4">
      <c r="I282" s="2"/>
      <c r="J282" s="2"/>
      <c r="K282" s="2"/>
    </row>
    <row r="283" spans="9:11" x14ac:dyDescent="0.4">
      <c r="I283" s="2"/>
      <c r="J283" s="2"/>
      <c r="K283" s="2"/>
    </row>
    <row r="284" spans="9:11" x14ac:dyDescent="0.4">
      <c r="I284" s="2"/>
      <c r="J284" s="2"/>
      <c r="K284" s="2"/>
    </row>
    <row r="285" spans="9:11" x14ac:dyDescent="0.4">
      <c r="I285" s="2"/>
      <c r="J285" s="2"/>
      <c r="K285" s="2"/>
    </row>
    <row r="286" spans="9:11" x14ac:dyDescent="0.4">
      <c r="I286" s="2"/>
      <c r="J286" s="2"/>
      <c r="K286" s="2"/>
    </row>
    <row r="287" spans="9:11" x14ac:dyDescent="0.4">
      <c r="I287" s="2"/>
      <c r="J287" s="2"/>
      <c r="K287" s="2"/>
    </row>
    <row r="288" spans="9:11" x14ac:dyDescent="0.4">
      <c r="I288" s="2"/>
      <c r="J288" s="2"/>
      <c r="K288" s="2"/>
    </row>
    <row r="289" spans="9:11" x14ac:dyDescent="0.4">
      <c r="I289" s="2"/>
      <c r="J289" s="2"/>
      <c r="K289" s="2"/>
    </row>
    <row r="290" spans="9:11" x14ac:dyDescent="0.4">
      <c r="I290" s="2"/>
      <c r="J290" s="2"/>
      <c r="K290" s="2"/>
    </row>
    <row r="291" spans="9:11" x14ac:dyDescent="0.4">
      <c r="I291" s="2"/>
      <c r="J291" s="2"/>
      <c r="K291" s="2"/>
    </row>
    <row r="292" spans="9:11" x14ac:dyDescent="0.4">
      <c r="I292" s="2"/>
      <c r="J292" s="2"/>
      <c r="K292" s="2"/>
    </row>
    <row r="293" spans="9:11" x14ac:dyDescent="0.4">
      <c r="I293" s="2"/>
      <c r="J293" s="2"/>
      <c r="K293" s="2"/>
    </row>
    <row r="294" spans="9:11" x14ac:dyDescent="0.4">
      <c r="I294" s="2"/>
      <c r="J294" s="2"/>
      <c r="K294" s="2"/>
    </row>
    <row r="295" spans="9:11" x14ac:dyDescent="0.4">
      <c r="I295" s="2"/>
      <c r="J295" s="2"/>
      <c r="K295" s="2"/>
    </row>
    <row r="296" spans="9:11" x14ac:dyDescent="0.4">
      <c r="I296" s="2"/>
      <c r="J296" s="2"/>
      <c r="K296" s="2"/>
    </row>
    <row r="297" spans="9:11" x14ac:dyDescent="0.4">
      <c r="I297" s="2"/>
      <c r="J297" s="2"/>
      <c r="K297" s="2"/>
    </row>
    <row r="298" spans="9:11" x14ac:dyDescent="0.4">
      <c r="I298" s="2"/>
      <c r="J298" s="2"/>
      <c r="K298" s="2"/>
    </row>
    <row r="299" spans="9:11" x14ac:dyDescent="0.4">
      <c r="I299" s="2"/>
      <c r="J299" s="2"/>
      <c r="K299" s="2"/>
    </row>
    <row r="300" spans="9:11" x14ac:dyDescent="0.4">
      <c r="I300" s="2"/>
      <c r="J300" s="2"/>
      <c r="K300" s="2"/>
    </row>
    <row r="301" spans="9:11" x14ac:dyDescent="0.4">
      <c r="I301" s="2"/>
      <c r="J301" s="2"/>
      <c r="K301" s="2"/>
    </row>
  </sheetData>
  <sheetProtection algorithmName="SHA-512" hashValue="j+RfrL5lNrJoXOuJEpqBwEXlt0a5wior7txwv3Sbj8c7nBUdpPOQAAZEEfNm5vF+2Znc0XdeyY+G+fqkAFB4Zw==" saltValue="Izl+lHwmqqA7qfB0COcbVA==" spinCount="100000" sheet="1" objects="1" scenarios="1"/>
  <phoneticPr fontId="1" type="noConversion"/>
  <conditionalFormatting sqref="H132">
    <cfRule type="cellIs" dxfId="2" priority="1" stopIfTrue="1" operator="equal">
      <formula>$I$129</formula>
    </cfRule>
    <cfRule type="cellIs" dxfId="1" priority="2" stopIfTrue="1" operator="equal">
      <formula>$I$130</formula>
    </cfRule>
    <cfRule type="cellIs" dxfId="0" priority="3" stopIfTrue="1" operator="equal">
      <formula>$I$131</formula>
    </cfRule>
  </conditionalFormatting>
  <hyperlinks>
    <hyperlink ref="D150" r:id="rId1" display="mailto:ag.info.omafra@ontario.ca" xr:uid="{00000000-0004-0000-0000-000000000000}"/>
  </hyperlinks>
  <pageMargins left="0.75" right="0.75" top="1" bottom="1" header="0.5" footer="0.5"/>
  <pageSetup orientation="portrait" r:id="rId2"/>
  <headerFooter alignWithMargins="0">
    <oddHeader xml:space="preserve">&amp;L                                                                        </oddHeader>
    <oddFooter>&amp;CPage -&amp;P-&amp;R</oddFooter>
  </headerFooter>
  <rowBreaks count="1" manualBreakCount="1">
    <brk id="103" max="16383"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2694B714-34A0-4378-AF85-7B2367225168}"/>
</file>

<file path=customXml/itemProps2.xml><?xml version="1.0" encoding="utf-8"?>
<ds:datastoreItem xmlns:ds="http://schemas.openxmlformats.org/officeDocument/2006/customXml" ds:itemID="{206058C7-728C-4AC5-AB36-DD22201DB8FF}"/>
</file>

<file path=customXml/itemProps3.xml><?xml version="1.0" encoding="utf-8"?>
<ds:datastoreItem xmlns:ds="http://schemas.openxmlformats.org/officeDocument/2006/customXml" ds:itemID="{52D52861-4572-4304-8F6F-91CB50F86AB7}"/>
</file>

<file path=customXml/itemProps4.xml><?xml version="1.0" encoding="utf-8"?>
<ds:datastoreItem xmlns:ds="http://schemas.openxmlformats.org/officeDocument/2006/customXml" ds:itemID="{A9F18E5C-E653-4A3B-87D6-004D5A39CA2F}"/>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FARROW</vt:lpstr>
    </vt:vector>
  </TitlesOfParts>
  <Manager>John Anderson</Manager>
  <Company>Ontario Ministry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Farrow-to-feeder Enterprise Budget</dc:title>
  <dc:subject>BEAR2000 Budget File</dc:subject>
  <dc:creator>john.molenhuis@ontario.ca</dc:creator>
  <cp:lastModifiedBy>Molenhuis, John (OMAFA)</cp:lastModifiedBy>
  <dcterms:created xsi:type="dcterms:W3CDTF">1998-09-13T17:28:45Z</dcterms:created>
  <dcterms:modified xsi:type="dcterms:W3CDTF">2024-08-15T18:40:32Z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2020-06-03T13:12:11.1361653Z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beb87b18-bb75-4c6e-a6ed-a0f13fa7b9c4</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