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66925"/>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Livestock/Swine/2023/"/>
    </mc:Choice>
  </mc:AlternateContent>
  <xr:revisionPtr revIDLastSave="41" documentId="13_ncr:1_{D8B1EECD-6DE1-4202-852A-B7ED0C7A197D}" xr6:coauthVersionLast="47" xr6:coauthVersionMax="47" xr10:uidLastSave="{693277EA-ECF3-4B83-85A0-485378B13DDB}"/>
  <bookViews>
    <workbookView xWindow="-103" yWindow="-103" windowWidth="22149" windowHeight="11949" xr2:uid="{00000000-000D-0000-FFFF-FFFF00000000}"/>
  </bookViews>
  <sheets>
    <sheet name="FARFIN" sheetId="1" r:id="rId1"/>
  </sheets>
  <definedNames>
    <definedName name="_Key1" hidden="1">FARFIN!$HW$39:$HW$42</definedName>
    <definedName name="_Order1" hidden="1">255</definedName>
    <definedName name="_Parse_In" hidden="1">FARFIN!$H$119:$H$121</definedName>
    <definedName name="_Parse_Out" hidden="1">FARFIN!$H$123</definedName>
    <definedName name="_Regression_Int" localSheetId="0" hidden="1">1</definedName>
    <definedName name="_Sort" hidden="1">FARFIN!$HV$39:$IB$42</definedName>
    <definedName name="_Table2_In1" hidden="1">FARFIN!$BA$49</definedName>
    <definedName name="_Table2_In2" hidden="1">FARFIN!$BA$50</definedName>
    <definedName name="_Table2_Out" hidden="1">FARFIN!$BB$15:$BJ$47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6" i="1" l="1"/>
  <c r="G144" i="1"/>
  <c r="G143" i="1"/>
  <c r="D142" i="1"/>
  <c r="D129" i="1"/>
  <c r="G134" i="1"/>
  <c r="G132" i="1"/>
  <c r="E167" i="1"/>
  <c r="E172" i="1"/>
  <c r="G116" i="1"/>
  <c r="D116" i="1"/>
  <c r="G75" i="1"/>
  <c r="C172" i="1" s="1"/>
  <c r="D75" i="1"/>
  <c r="I172" i="1"/>
  <c r="G78" i="1"/>
  <c r="G79" i="1"/>
  <c r="G80" i="1"/>
  <c r="G81" i="1"/>
  <c r="G82" i="1"/>
  <c r="G83" i="1"/>
  <c r="G84" i="1"/>
  <c r="G85" i="1"/>
  <c r="D88" i="1"/>
  <c r="D91" i="1"/>
  <c r="F64" i="1"/>
  <c r="F61" i="1"/>
  <c r="H61" i="1" s="1"/>
  <c r="F65" i="1"/>
  <c r="E137" i="1"/>
  <c r="E112" i="1"/>
  <c r="G126" i="1"/>
  <c r="G122" i="1"/>
  <c r="G121" i="1"/>
  <c r="G119" i="1"/>
  <c r="G118" i="1"/>
  <c r="G117" i="1"/>
  <c r="E111" i="1"/>
  <c r="A79" i="1"/>
  <c r="A80" i="1"/>
  <c r="A81" i="1"/>
  <c r="A82" i="1"/>
  <c r="A83" i="1"/>
  <c r="A78" i="1"/>
  <c r="D112" i="1"/>
  <c r="H42" i="1"/>
  <c r="H12" i="1"/>
  <c r="H13" i="1" s="1"/>
  <c r="H19" i="1"/>
  <c r="E36" i="1"/>
  <c r="E37" i="1"/>
  <c r="E38" i="1"/>
  <c r="E39" i="1"/>
  <c r="E40" i="1"/>
  <c r="E35" i="1"/>
  <c r="I171" i="1"/>
  <c r="I173" i="1"/>
  <c r="F59" i="1"/>
  <c r="F62" i="1"/>
  <c r="H62" i="1" s="1"/>
  <c r="F66" i="1"/>
  <c r="H66" i="1" s="1"/>
  <c r="D102" i="1"/>
  <c r="D101" i="1"/>
  <c r="G97" i="1"/>
  <c r="D97" i="1"/>
  <c r="E94" i="1"/>
  <c r="G72" i="1" s="1"/>
  <c r="A71" i="1"/>
  <c r="D42" i="1"/>
  <c r="H34" i="1"/>
  <c r="H33" i="1"/>
  <c r="H8" i="1"/>
  <c r="H26" i="1"/>
  <c r="H27" i="1" s="1"/>
  <c r="K23" i="1"/>
  <c r="H11" i="1"/>
  <c r="H10" i="1"/>
  <c r="G142" i="1" l="1"/>
  <c r="H15" i="1"/>
  <c r="H16" i="1" s="1"/>
  <c r="J21" i="1" s="1"/>
  <c r="H32" i="1"/>
  <c r="H9" i="1"/>
  <c r="H65" i="1"/>
  <c r="I174" i="1"/>
  <c r="H35" i="1"/>
  <c r="H14" i="1"/>
  <c r="H37" i="1"/>
  <c r="H36" i="1"/>
  <c r="G129" i="1"/>
  <c r="E150" i="1"/>
  <c r="G110" i="1"/>
  <c r="H17" i="1" l="1"/>
  <c r="H28" i="1"/>
  <c r="H20" i="1"/>
  <c r="I169" i="1" l="1"/>
  <c r="H38" i="1"/>
  <c r="G77" i="1"/>
  <c r="H40" i="1"/>
  <c r="H29" i="1"/>
  <c r="H39" i="1"/>
  <c r="E64" i="1"/>
  <c r="H64" i="1" s="1"/>
  <c r="E60" i="1"/>
  <c r="H21" i="1"/>
  <c r="F52" i="1"/>
  <c r="G71" i="1" s="1"/>
  <c r="G124" i="1" s="1"/>
  <c r="H22" i="1"/>
  <c r="E129" i="1" l="1"/>
  <c r="G123" i="1"/>
  <c r="H123" i="1" s="1"/>
  <c r="G90" i="1"/>
  <c r="H90" i="1" s="1"/>
  <c r="G101" i="1"/>
  <c r="H101" i="1" s="1"/>
  <c r="E142" i="1"/>
  <c r="G130" i="1"/>
  <c r="H130" i="1" s="1"/>
  <c r="E116" i="1"/>
  <c r="G89" i="1"/>
  <c r="H89" i="1" s="1"/>
  <c r="E75" i="1"/>
  <c r="G125" i="1"/>
  <c r="H125" i="1" s="1"/>
  <c r="G87" i="1"/>
  <c r="H87" i="1" s="1"/>
  <c r="D94" i="1"/>
  <c r="G145" i="1"/>
  <c r="H145" i="1" s="1"/>
  <c r="G133" i="1"/>
  <c r="H133" i="1" s="1"/>
  <c r="G131" i="1"/>
  <c r="H131" i="1" s="1"/>
  <c r="G91" i="1"/>
  <c r="H91" i="1" s="1"/>
  <c r="G120" i="1"/>
  <c r="H120" i="1" s="1"/>
  <c r="G86" i="1"/>
  <c r="H86" i="1" s="1"/>
  <c r="G100" i="1"/>
  <c r="H100" i="1" s="1"/>
  <c r="G113" i="1"/>
  <c r="H113" i="1" s="1"/>
  <c r="G102" i="1"/>
  <c r="H102" i="1" s="1"/>
  <c r="E97" i="1"/>
  <c r="G112" i="1"/>
  <c r="H112" i="1" s="1"/>
  <c r="G111" i="1"/>
  <c r="H111" i="1" s="1"/>
  <c r="G88" i="1"/>
  <c r="H88" i="1" s="1"/>
  <c r="F51" i="1"/>
  <c r="E59" i="1"/>
  <c r="H75" i="1"/>
  <c r="H142" i="1"/>
  <c r="H146" i="1"/>
  <c r="H129" i="1"/>
  <c r="H97" i="1"/>
  <c r="H116" i="1"/>
  <c r="H110" i="1"/>
  <c r="H79" i="1"/>
  <c r="H124" i="1"/>
  <c r="H132" i="1"/>
  <c r="H85" i="1"/>
  <c r="H84" i="1"/>
  <c r="H117" i="1"/>
  <c r="H143" i="1"/>
  <c r="H82" i="1"/>
  <c r="H81" i="1"/>
  <c r="H119" i="1"/>
  <c r="H83" i="1"/>
  <c r="H118" i="1"/>
  <c r="H78" i="1"/>
  <c r="H144" i="1"/>
  <c r="H126" i="1"/>
  <c r="H134" i="1"/>
  <c r="H80" i="1"/>
  <c r="H122" i="1"/>
  <c r="H121" i="1"/>
  <c r="K24" i="1" l="1"/>
  <c r="K27" i="1"/>
  <c r="H59" i="1"/>
  <c r="H69" i="1" s="1"/>
  <c r="I170" i="1"/>
  <c r="E69" i="1"/>
  <c r="K26" i="1"/>
  <c r="K29" i="1"/>
  <c r="I175" i="1"/>
  <c r="H104" i="1"/>
  <c r="K25" i="1"/>
  <c r="K28" i="1"/>
  <c r="H148" i="1"/>
  <c r="G104" i="1" l="1"/>
  <c r="G148" i="1"/>
  <c r="K17" i="1"/>
  <c r="F155" i="1"/>
  <c r="E155" i="1" s="1"/>
  <c r="J134" i="1"/>
  <c r="H137" i="1" s="1"/>
  <c r="G137" i="1" s="1"/>
  <c r="I176" i="1"/>
  <c r="F151" i="1"/>
  <c r="K18" i="1"/>
  <c r="E151" i="1" l="1"/>
  <c r="I177" i="1"/>
  <c r="K19" i="1"/>
  <c r="G169" i="1"/>
  <c r="H169" i="1" s="1"/>
  <c r="H139" i="1"/>
  <c r="I165" i="1" l="1"/>
  <c r="G139" i="1"/>
  <c r="K16" i="1"/>
  <c r="F152" i="1"/>
  <c r="E152" i="1" l="1"/>
  <c r="F154" i="1"/>
  <c r="E164" i="1"/>
  <c r="G164" i="1"/>
  <c r="E161" i="1" l="1"/>
  <c r="E162" i="1"/>
  <c r="F157" i="1"/>
  <c r="E157" i="1" s="1"/>
  <c r="E154" i="1"/>
  <c r="G162" i="1"/>
  <c r="G161" i="1"/>
  <c r="C177" i="1" l="1"/>
  <c r="C175" i="1"/>
  <c r="J176" i="1"/>
  <c r="I179" i="1"/>
  <c r="C178" i="1"/>
  <c r="C174" i="1"/>
  <c r="H3" i="1"/>
  <c r="C176" i="1"/>
  <c r="J178" i="1" l="1"/>
  <c r="J177" i="1"/>
  <c r="I181" i="1"/>
  <c r="I180" i="1"/>
  <c r="I182" i="1" l="1"/>
  <c r="G166" i="1" s="1"/>
  <c r="J179" i="1"/>
  <c r="G16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E44" authorId="0" shapeId="0" xr:uid="{00000000-0006-0000-0000-000001000000}">
      <text>
        <r>
          <rPr>
            <b/>
            <sz val="8"/>
            <color indexed="81"/>
            <rFont val="Tahoma"/>
            <family val="2"/>
          </rPr>
          <t xml:space="preserve">L'estimation optimiste est ce à quoi on  peut raisonnablement s'attendre au moins 1 année sur 6. </t>
        </r>
      </text>
    </comment>
    <comment ref="F44" authorId="0" shapeId="0" xr:uid="{00000000-0006-0000-0000-000002000000}">
      <text>
        <r>
          <rPr>
            <b/>
            <sz val="8"/>
            <color indexed="81"/>
            <rFont val="Tahoma"/>
            <family val="2"/>
          </rPr>
          <t>Le résultat anticipé est le résultat le plus probable pour l'année en cours.</t>
        </r>
        <r>
          <rPr>
            <sz val="8"/>
            <color indexed="81"/>
            <rFont val="Tahoma"/>
            <family val="2"/>
          </rPr>
          <t xml:space="preserve">
</t>
        </r>
      </text>
    </comment>
    <comment ref="G44" authorId="0" shapeId="0" xr:uid="{00000000-0006-0000-0000-000003000000}">
      <text>
        <r>
          <rPr>
            <b/>
            <sz val="8"/>
            <color indexed="81"/>
            <rFont val="Tahoma"/>
            <family val="2"/>
          </rPr>
          <t xml:space="preserve">L'estimation pessimiste doit correspondre au plus faible résultat auquel on peut raisonnablement s'attendre 1 année sur 6.  
</t>
        </r>
        <r>
          <rPr>
            <sz val="8"/>
            <color indexed="81"/>
            <rFont val="Tahoma"/>
            <family val="2"/>
          </rPr>
          <t xml:space="preserve">
</t>
        </r>
      </text>
    </comment>
    <comment ref="D75" authorId="0" shapeId="0" xr:uid="{00000000-0006-0000-0000-000004000000}">
      <text>
        <r>
          <rPr>
            <b/>
            <sz val="8"/>
            <color indexed="81"/>
            <rFont val="Tahoma"/>
            <family val="2"/>
          </rPr>
          <t xml:space="preserve">Si un nombre est inscrit dans la colonne  $/porc de marché, les nombres entrés dans la colonne  $/an seront ignorés par la calculatrice. </t>
        </r>
        <r>
          <rPr>
            <sz val="8"/>
            <color indexed="81"/>
            <rFont val="Tahoma"/>
            <family val="2"/>
          </rPr>
          <t xml:space="preserve">
</t>
        </r>
      </text>
    </comment>
    <comment ref="E75" authorId="0" shapeId="0" xr:uid="{00000000-0006-0000-0000-000005000000}">
      <text>
        <r>
          <rPr>
            <b/>
            <sz val="8"/>
            <color indexed="81"/>
            <rFont val="Tahoma"/>
            <family val="2"/>
          </rPr>
          <t xml:space="preserve">Si un nombre est inscrit dans la colonne  $/porc de marché, les nombres entrés dans la colonne  $/an seront ignorés par la calculatrice. </t>
        </r>
      </text>
    </comment>
    <comment ref="D116" authorId="0" shapeId="0" xr:uid="{00000000-0006-0000-0000-000006000000}">
      <text>
        <r>
          <rPr>
            <b/>
            <sz val="8"/>
            <color indexed="81"/>
            <rFont val="Tahoma"/>
            <family val="2"/>
          </rPr>
          <t xml:space="preserve">Si un nombre est inscrit dans la colonne  $/porc de marché, les nombres entrés dans la colonne  $/an seront ignorés par la calculatrice. 
</t>
        </r>
        <r>
          <rPr>
            <sz val="8"/>
            <color indexed="81"/>
            <rFont val="Tahoma"/>
            <family val="2"/>
          </rPr>
          <t xml:space="preserve">
</t>
        </r>
      </text>
    </comment>
    <comment ref="E116" authorId="0" shapeId="0" xr:uid="{00000000-0006-0000-0000-000007000000}">
      <text>
        <r>
          <rPr>
            <b/>
            <sz val="8"/>
            <color indexed="81"/>
            <rFont val="Tahoma"/>
            <family val="2"/>
          </rPr>
          <t xml:space="preserve">Si un nombre est inscrit dans la colonne  $/porc de marché, les nombres entrés dans la colonne  $/an seront ignorés par la calculatrice. 
</t>
        </r>
      </text>
    </comment>
    <comment ref="D129" authorId="0" shapeId="0" xr:uid="{00000000-0006-0000-0000-000008000000}">
      <text>
        <r>
          <rPr>
            <b/>
            <sz val="8"/>
            <color indexed="81"/>
            <rFont val="Tahoma"/>
            <family val="2"/>
          </rPr>
          <t xml:space="preserve">Si un nombre est inscrit dans la colonne  $/porc de marché, les nombres entrés dans la colonne  $/an seront ignorés par la calculatrice. 
</t>
        </r>
        <r>
          <rPr>
            <sz val="8"/>
            <color indexed="81"/>
            <rFont val="Tahoma"/>
            <family val="2"/>
          </rPr>
          <t xml:space="preserve">
</t>
        </r>
      </text>
    </comment>
    <comment ref="E129" authorId="0" shapeId="0" xr:uid="{00000000-0006-0000-0000-000009000000}">
      <text>
        <r>
          <rPr>
            <b/>
            <sz val="8"/>
            <color indexed="81"/>
            <rFont val="Tahoma"/>
            <family val="2"/>
          </rPr>
          <t xml:space="preserve">Si un nombre est inscrit dans la colonne  $/porc de marché, les nombres entrés dans la colonne  $/an seront ignorés par la calculatrice. 
</t>
        </r>
      </text>
    </comment>
    <comment ref="D142" authorId="0" shapeId="0" xr:uid="{00000000-0006-0000-0000-00000A000000}">
      <text>
        <r>
          <rPr>
            <b/>
            <sz val="8"/>
            <color indexed="81"/>
            <rFont val="Tahoma"/>
            <family val="2"/>
          </rPr>
          <t xml:space="preserve">Si un nombre est inscrit dans la colonne  $/porc de marché, les nombres entrés dans la colonne  $/an seront ignorés par la calculatrice. 
</t>
        </r>
        <r>
          <rPr>
            <sz val="8"/>
            <color indexed="81"/>
            <rFont val="Tahoma"/>
            <family val="2"/>
          </rPr>
          <t xml:space="preserve">
</t>
        </r>
      </text>
    </comment>
    <comment ref="E142" authorId="0" shapeId="0" xr:uid="{00000000-0006-0000-0000-00000B000000}">
      <text>
        <r>
          <rPr>
            <b/>
            <sz val="8"/>
            <color indexed="81"/>
            <rFont val="Tahoma"/>
            <family val="2"/>
          </rPr>
          <t xml:space="preserve">Si un nombre est inscrit dans la colonne  $/porc de marché, les nombres entrés dans la colonne  $/an seront ignorés par la calculatrice. 
</t>
        </r>
      </text>
    </comment>
    <comment ref="B169" authorId="0" shapeId="0" xr:uid="{00000000-0006-0000-0000-00000C000000}">
      <text>
        <r>
          <rPr>
            <b/>
            <sz val="8"/>
            <color indexed="81"/>
            <rFont val="Tahoma"/>
            <family val="2"/>
          </rPr>
          <t xml:space="preserve">Le coefficient de variation est utilisé à titre d'indicateur du niveau de risque de l'exploitation.  Il mesure en dollars le risque pris par dollar de revenu anticipé.  Plus le coefficient de variation est élevé, plus la variabilité de la fourchette de revenus de l'entreprise est grande. Plus le coefficient de variation est faible,  plus les probabilités que le résultat s'approche des prévisions sont élevées.   
Comparer le coefficient de variation de cette entreprise avec d'autres; les entreprises dont le coefficient de variation est moins élevé présentent moins de risques. 
</t>
        </r>
      </text>
    </comment>
  </commentList>
</comments>
</file>

<file path=xl/sharedStrings.xml><?xml version="1.0" encoding="utf-8"?>
<sst xmlns="http://schemas.openxmlformats.org/spreadsheetml/2006/main" count="267" uniqueCount="224">
  <si>
    <t>Revised: July 94</t>
  </si>
  <si>
    <t xml:space="preserve">    Feeder Pigs Sold</t>
  </si>
  <si>
    <t xml:space="preserve">  Per market hog </t>
  </si>
  <si>
    <t>y</t>
  </si>
  <si>
    <t xml:space="preserve">  Per kg of pork produced</t>
  </si>
  <si>
    <t>Feeder Pig Price</t>
  </si>
  <si>
    <t>Feeder Hogs Sold/Yr</t>
  </si>
  <si>
    <t xml:space="preserve">  Feeder Pigs Sold</t>
  </si>
  <si>
    <t>$/kg</t>
  </si>
  <si>
    <t>-</t>
  </si>
  <si>
    <t>Mkt Hogs</t>
  </si>
  <si>
    <t>**(Enter the herd size used to determine variable costs)</t>
  </si>
  <si>
    <t>$/Year</t>
  </si>
  <si>
    <t xml:space="preserve"> --------</t>
  </si>
  <si>
    <t xml:space="preserve">  -------</t>
  </si>
  <si>
    <t xml:space="preserve"> Grain #1</t>
  </si>
  <si>
    <t xml:space="preserve">       #2</t>
  </si>
  <si>
    <t xml:space="preserve">       #3</t>
  </si>
  <si>
    <t xml:space="preserve"> </t>
  </si>
  <si>
    <t>Description</t>
  </si>
  <si>
    <t xml:space="preserve"> Homegrown Feed:  (from transfer table)</t>
  </si>
  <si>
    <t xml:space="preserve">  Crop Transfers (based on</t>
  </si>
  <si>
    <t xml:space="preserve"> *** (Input ONLY if NOT using Crop Transfer table) ***</t>
  </si>
  <si>
    <t>Corn</t>
  </si>
  <si>
    <t>Barley</t>
  </si>
  <si>
    <t>Feeder Pigs</t>
  </si>
  <si>
    <t>Feeder</t>
  </si>
  <si>
    <t>C Gilts</t>
  </si>
  <si>
    <t>Feed Cst</t>
  </si>
  <si>
    <t>Sumstd</t>
  </si>
  <si>
    <t xml:space="preserve">       17 %</t>
  </si>
  <si>
    <t>Std</t>
  </si>
  <si>
    <t xml:space="preserve">       33 %</t>
  </si>
  <si>
    <t xml:space="preserve">       50 %</t>
  </si>
  <si>
    <t>z</t>
  </si>
  <si>
    <t xml:space="preserve">       67 %</t>
  </si>
  <si>
    <t>v1</t>
  </si>
  <si>
    <t xml:space="preserve">       83 %</t>
  </si>
  <si>
    <t>v2</t>
  </si>
  <si>
    <t/>
  </si>
  <si>
    <t>Allo!C3..J14</t>
  </si>
  <si>
    <t>Tran!D3..G14</t>
  </si>
  <si>
    <t>Wfarm!L4</t>
  </si>
  <si>
    <t>Wfarm!L5</t>
  </si>
  <si>
    <t>Wfarm!L6</t>
  </si>
  <si>
    <t>Wfarm!L7</t>
  </si>
  <si>
    <t>Wfarm!L8</t>
  </si>
  <si>
    <t>Wfarm!L9</t>
  </si>
  <si>
    <t>Wfarm!K4</t>
  </si>
  <si>
    <t>Wfarm!K5</t>
  </si>
  <si>
    <t>Wfarm!K6</t>
  </si>
  <si>
    <t>Wfarm!K7</t>
  </si>
  <si>
    <t xml:space="preserve">     - or -</t>
  </si>
  <si>
    <t>$/feeder pig</t>
  </si>
  <si>
    <t>ag.info.omafra@ontario.ca</t>
  </si>
  <si>
    <t>Chaque exploitant peut modifier les nombres en bleu pour refléter les données de son entreprise.</t>
  </si>
  <si>
    <t>Nombre de truies</t>
  </si>
  <si>
    <t xml:space="preserve">Nombre de verrats </t>
  </si>
  <si>
    <t>Portées par année</t>
  </si>
  <si>
    <t>Jours en pouponnière par portée</t>
  </si>
  <si>
    <t>Jours d'utilisation des loges/ mise-bas</t>
  </si>
  <si>
    <t>Intervalle entre mise-bas et saillie</t>
  </si>
  <si>
    <t>Porcs nés vivants par portée</t>
  </si>
  <si>
    <t>% de survie - présevrage</t>
  </si>
  <si>
    <t>% de survie des porcs finis</t>
  </si>
  <si>
    <t>Poids anticipé des porcs à l'engrais - kg</t>
  </si>
  <si>
    <t xml:space="preserve">   Portées/truie/an</t>
  </si>
  <si>
    <t xml:space="preserve">    Portées par sem.</t>
  </si>
  <si>
    <t xml:space="preserve">    Loges requises</t>
  </si>
  <si>
    <t xml:space="preserve">    Porcelets sevrés par portée</t>
  </si>
  <si>
    <t xml:space="preserve">    Porcelets sevrés /loge/an </t>
  </si>
  <si>
    <t xml:space="preserve">    Porcs à l'engrais par année</t>
  </si>
  <si>
    <t xml:space="preserve">    Porcs à l'engrais/truie/ an </t>
  </si>
  <si>
    <t xml:space="preserve">Jours dans la porcherie de finition </t>
  </si>
  <si>
    <t xml:space="preserve">    Porcs à l'engrais par portée</t>
  </si>
  <si>
    <t>Capacité de la porcherie de finition - têtes</t>
  </si>
  <si>
    <t>Poids du marché anticipé - kg</t>
  </si>
  <si>
    <t>Poids carcasse anticipé - kg</t>
  </si>
  <si>
    <t xml:space="preserve">Indice de marché anticipé </t>
  </si>
  <si>
    <t xml:space="preserve">    Porcs de marché produits </t>
  </si>
  <si>
    <t xml:space="preserve">    Porcs de marché/truie/an </t>
  </si>
  <si>
    <t>Besoins alimentaires quotidiens</t>
  </si>
  <si>
    <t>Truie sèche - kg/truie/jour</t>
  </si>
  <si>
    <t>$/truie</t>
  </si>
  <si>
    <t xml:space="preserve">    Verrat</t>
  </si>
  <si>
    <t>B Verrats</t>
  </si>
  <si>
    <t>C Verrats</t>
  </si>
  <si>
    <t>Truie allaitante - kg/truie/jour</t>
  </si>
  <si>
    <t xml:space="preserve">    Truie allaitante</t>
  </si>
  <si>
    <t xml:space="preserve"> Truie allaitante</t>
  </si>
  <si>
    <t xml:space="preserve">    Truie sèche</t>
  </si>
  <si>
    <t xml:space="preserve"> Truie sèche</t>
  </si>
  <si>
    <t>Verrat - kg/verrat/jour</t>
  </si>
  <si>
    <t xml:space="preserve">    Jours pour atteindre poids du marché</t>
  </si>
  <si>
    <t xml:space="preserve">    Kg de porc à l'engrais produit </t>
  </si>
  <si>
    <t xml:space="preserve">    Kg de porc produit </t>
  </si>
  <si>
    <t>kg/porc</t>
  </si>
  <si>
    <t xml:space="preserve">    Capacité de production-porcs de marché</t>
  </si>
  <si>
    <t xml:space="preserve">    Alimentation requise/an (tonnes) :</t>
  </si>
  <si>
    <t xml:space="preserve">    Indice de consommation -aliments/gain :</t>
  </si>
  <si>
    <t xml:space="preserve">      Porcs de marché</t>
  </si>
  <si>
    <t xml:space="preserve">Facteurs de risque : </t>
  </si>
  <si>
    <t>Cochettes de remplacement ($/cochette)</t>
  </si>
  <si>
    <t>Verrats reproducteurs</t>
  </si>
  <si>
    <t>$/kg poids carcasse</t>
  </si>
  <si>
    <t>/cochette</t>
  </si>
  <si>
    <t>/verrat</t>
  </si>
  <si>
    <t>Truies de réforme</t>
  </si>
  <si>
    <t xml:space="preserve"> Verrats de réforme</t>
  </si>
  <si>
    <t>Fourchette plus ou moins normale, coûts d'alimentation :</t>
  </si>
  <si>
    <t>% des coûts prévus</t>
  </si>
  <si>
    <t>Optimiste</t>
  </si>
  <si>
    <t xml:space="preserve"> Anticipé</t>
  </si>
  <si>
    <t>Pessimiste</t>
  </si>
  <si>
    <t>Porcs de marché vendus/an</t>
  </si>
  <si>
    <t>Pouponnière  1</t>
  </si>
  <si>
    <t>Pouponnière  2</t>
  </si>
  <si>
    <t>Pouponnière  3</t>
  </si>
  <si>
    <t>Croissance-finition  1</t>
  </si>
  <si>
    <t>Croissance-finition   2</t>
  </si>
  <si>
    <t>Croissance-finition   3</t>
  </si>
  <si>
    <t>Prix - porc de marché</t>
  </si>
  <si>
    <t>REVENUS</t>
  </si>
  <si>
    <t>Ventes de porcs</t>
  </si>
  <si>
    <t xml:space="preserve">  Porcs de marché produits/an, incluant : </t>
  </si>
  <si>
    <t xml:space="preserve">    Cochettes de remplacement vendues</t>
  </si>
  <si>
    <t xml:space="preserve">     Verrats reproducteurs vendus</t>
  </si>
  <si>
    <t xml:space="preserve">    Porcs de marché vendus</t>
  </si>
  <si>
    <t xml:space="preserve">   Verrats de réforme</t>
  </si>
  <si>
    <t>Autres ventes</t>
  </si>
  <si>
    <t xml:space="preserve">    Anticipés </t>
  </si>
  <si>
    <t>Tête</t>
  </si>
  <si>
    <t xml:space="preserve">     Prix</t>
  </si>
  <si>
    <t>Revenu</t>
  </si>
  <si>
    <t>$/ tête</t>
  </si>
  <si>
    <t>Revenu total</t>
  </si>
  <si>
    <t>DÉPENSES</t>
  </si>
  <si>
    <t>Type</t>
  </si>
  <si>
    <t>/an</t>
  </si>
  <si>
    <t>$/an</t>
  </si>
  <si>
    <t xml:space="preserve"> Grain 1</t>
  </si>
  <si>
    <t xml:space="preserve">       2</t>
  </si>
  <si>
    <t xml:space="preserve">       3</t>
  </si>
  <si>
    <t xml:space="preserve"> Maïs</t>
  </si>
  <si>
    <t>Orge</t>
  </si>
  <si>
    <t xml:space="preserve"> Complément protéique</t>
  </si>
  <si>
    <t xml:space="preserve"> Prémélange</t>
  </si>
  <si>
    <t xml:space="preserve"> Autre -</t>
  </si>
  <si>
    <t xml:space="preserve">Coûts totaux d'alimentation </t>
  </si>
  <si>
    <t xml:space="preserve">Achats bétail </t>
  </si>
  <si>
    <t xml:space="preserve"> Verrats reproducteurs</t>
  </si>
  <si>
    <t xml:space="preserve">  Cochettes de remplacement</t>
  </si>
  <si>
    <t xml:space="preserve">  Autre -</t>
  </si>
  <si>
    <t>/tête</t>
  </si>
  <si>
    <t xml:space="preserve"> Frais vét. et médicaments</t>
  </si>
  <si>
    <t xml:space="preserve"> Litière</t>
  </si>
  <si>
    <t xml:space="preserve"> Mise en marché</t>
  </si>
  <si>
    <t xml:space="preserve"> Transport</t>
  </si>
  <si>
    <t xml:space="preserve">Fournitures-porcherie </t>
  </si>
  <si>
    <t xml:space="preserve"> Travail à forfait</t>
  </si>
  <si>
    <t>Élimination du fumier</t>
  </si>
  <si>
    <t xml:space="preserve"> Location d'équipement</t>
  </si>
  <si>
    <t xml:space="preserve"> Serv. publics (électricité, gaz)</t>
  </si>
  <si>
    <t xml:space="preserve"> Carburant</t>
  </si>
  <si>
    <t xml:space="preserve">  Rép. et entretien du matériel</t>
  </si>
  <si>
    <t>Rép. et entretien des bâtiments</t>
  </si>
  <si>
    <t xml:space="preserve"> Location</t>
  </si>
  <si>
    <t xml:space="preserve"> Frais variables généraux </t>
  </si>
  <si>
    <t>Capital d'exploitation</t>
  </si>
  <si>
    <t>Frais fixes :</t>
  </si>
  <si>
    <t xml:space="preserve"> Dépréciation</t>
  </si>
  <si>
    <t xml:space="preserve"> Locations à long terme</t>
  </si>
  <si>
    <t>Frais fixes généraux :</t>
  </si>
  <si>
    <t>Revenus :</t>
  </si>
  <si>
    <t xml:space="preserve">Revenus totaux anticipés : </t>
  </si>
  <si>
    <t xml:space="preserve">    moins : frais variables</t>
  </si>
  <si>
    <t xml:space="preserve">Marge d'exploitation anticipée </t>
  </si>
  <si>
    <t xml:space="preserve">   moins : frais fixes</t>
  </si>
  <si>
    <t xml:space="preserve">Revenu net anticipé </t>
  </si>
  <si>
    <t>Seuil de rentabilité anticipé  $/kg pour :</t>
  </si>
  <si>
    <t>Porcs de marché</t>
  </si>
  <si>
    <t>Frais variables</t>
  </si>
  <si>
    <t xml:space="preserve">Frais fixes </t>
  </si>
  <si>
    <t>Probabilité d'obtenir au moins le seuil de rentabilité           ==&gt;</t>
  </si>
  <si>
    <t>Probabilité d'obtenir au moins</t>
  </si>
  <si>
    <t xml:space="preserve">Indicateur de risque - </t>
  </si>
  <si>
    <t>Coefficient de variation:                      ==&gt;</t>
  </si>
  <si>
    <t xml:space="preserve">Probabilité d'obtenir au moins </t>
  </si>
  <si>
    <t>L'utilisateur de la présente feuille de travail est entièrement responsable de son contenu.</t>
  </si>
  <si>
    <t>Pour plus d'information</t>
  </si>
  <si>
    <t>1 877 424-1300</t>
  </si>
  <si>
    <t xml:space="preserve">    Porcelets sevrés par année</t>
  </si>
  <si>
    <t>Jours - rotation</t>
  </si>
  <si>
    <t xml:space="preserve">Besoins alimentaires totaux </t>
  </si>
  <si>
    <t>% int.</t>
  </si>
  <si>
    <t>% an</t>
  </si>
  <si>
    <t>Total des frais fixes :</t>
  </si>
  <si>
    <t xml:space="preserve"> Profits</t>
  </si>
  <si>
    <t xml:space="preserve">Total des frais </t>
  </si>
  <si>
    <t>Profit/ porc de marché :</t>
  </si>
  <si>
    <t>Frais variables :</t>
  </si>
  <si>
    <t xml:space="preserve">  Truies de réforme</t>
  </si>
  <si>
    <t xml:space="preserve"> Alimentation:</t>
  </si>
  <si>
    <t xml:space="preserve"> Main-d'œuvre salariée</t>
  </si>
  <si>
    <t xml:space="preserve"> Coûts - reproduction et semence </t>
  </si>
  <si>
    <t>% de survie des porcelets sevrés</t>
  </si>
  <si>
    <t xml:space="preserve">Jours dans le bâtiment des porcelets sevrés </t>
  </si>
  <si>
    <t xml:space="preserve">    Taux de mise-bas %</t>
  </si>
  <si>
    <t xml:space="preserve">   Jours pour atteindre poids d'eng.</t>
  </si>
  <si>
    <t xml:space="preserve">    moins les cochettes de remplacement</t>
  </si>
  <si>
    <t xml:space="preserve"> Intérêts sur </t>
  </si>
  <si>
    <t xml:space="preserve">Total des frais variables </t>
  </si>
  <si>
    <t xml:space="preserve"> Intérêts sur prêts à terme</t>
  </si>
  <si>
    <t>faible risque</t>
  </si>
  <si>
    <t>risque modéré</t>
  </si>
  <si>
    <t>risque élevé</t>
  </si>
  <si>
    <r>
      <t xml:space="preserve">BUDGET D'ENTREPRISE - NAISSAGE-FINITION </t>
    </r>
    <r>
      <rPr>
        <b/>
        <vertAlign val="superscript"/>
        <sz val="12"/>
        <rFont val="Arial"/>
        <family val="2"/>
      </rPr>
      <t>1</t>
    </r>
  </si>
  <si>
    <t>Pourcentage de la formule de base - %</t>
  </si>
  <si>
    <t>Prime - $/ tête</t>
  </si>
  <si>
    <t>Il s’agit d’un outil de budgétisation contenant un chiffrier pour le calcul du coût de production. Des champs à remplir sont prévus pour l’utilisateur. L’outil comporte 21 colonnes et 252 lignes.</t>
  </si>
  <si>
    <t>fin de la feuille de calcul</t>
  </si>
  <si>
    <t>Révision : 2023</t>
  </si>
  <si>
    <t xml:space="preserve">Centre d'information agricole du MAAAO </t>
  </si>
  <si>
    <t>1. Basé sur les Budgets mensuels du porc, MAAAO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</si>
</sst>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_);\(&quot;$&quot;#,##0.00\)"/>
    <numFmt numFmtId="165" formatCode=";;;"/>
    <numFmt numFmtId="166" formatCode="0_)"/>
    <numFmt numFmtId="167" formatCode="0.00_)"/>
    <numFmt numFmtId="168" formatCode="0.0_)"/>
    <numFmt numFmtId="169" formatCode="0.0000_)"/>
    <numFmt numFmtId="170" formatCode="0.000_)"/>
  </numFmts>
  <fonts count="21" x14ac:knownFonts="1">
    <font>
      <sz val="10"/>
      <name val="Courier"/>
    </font>
    <font>
      <sz val="8"/>
      <name val="Courier"/>
    </font>
    <font>
      <u/>
      <sz val="10"/>
      <color indexed="12"/>
      <name val="Courier"/>
    </font>
    <font>
      <b/>
      <sz val="8"/>
      <color indexed="81"/>
      <name val="Tahoma"/>
      <family val="2"/>
    </font>
    <font>
      <sz val="8"/>
      <color indexed="81"/>
      <name val="Tahoma"/>
      <family val="2"/>
    </font>
    <font>
      <b/>
      <sz val="12"/>
      <name val="Arial"/>
      <family val="2"/>
    </font>
    <font>
      <b/>
      <sz val="12"/>
      <color indexed="12"/>
      <name val="Arial"/>
      <family val="2"/>
    </font>
    <font>
      <b/>
      <vertAlign val="superscript"/>
      <sz val="12"/>
      <name val="Arial"/>
      <family val="2"/>
    </font>
    <font>
      <sz val="12"/>
      <name val="Courier New"/>
      <family val="3"/>
    </font>
    <font>
      <sz val="12"/>
      <name val="Courier"/>
    </font>
    <font>
      <sz val="12"/>
      <color indexed="10"/>
      <name val="Courier New"/>
      <family val="3"/>
    </font>
    <font>
      <sz val="12"/>
      <color indexed="10"/>
      <name val="Courier"/>
    </font>
    <font>
      <b/>
      <sz val="12"/>
      <color indexed="10"/>
      <name val="Arial"/>
      <family val="2"/>
    </font>
    <font>
      <b/>
      <sz val="12"/>
      <color indexed="48"/>
      <name val="Arial"/>
      <family val="2"/>
    </font>
    <font>
      <sz val="12"/>
      <name val="Arial"/>
      <family val="2"/>
    </font>
    <font>
      <b/>
      <sz val="12"/>
      <color indexed="8"/>
      <name val="Arial"/>
      <family val="2"/>
    </font>
    <font>
      <u/>
      <sz val="12"/>
      <color indexed="12"/>
      <name val="Arial"/>
      <family val="2"/>
    </font>
    <font>
      <sz val="10"/>
      <name val="Courier"/>
      <family val="3"/>
    </font>
    <font>
      <sz val="12"/>
      <color indexed="12"/>
      <name val="Arial"/>
      <family val="2"/>
    </font>
    <font>
      <b/>
      <sz val="9"/>
      <color indexed="8"/>
      <name val="Arial"/>
      <family val="2"/>
    </font>
    <font>
      <u/>
      <sz val="10"/>
      <color indexed="12"/>
      <name val="Courier"/>
      <family val="3"/>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9"/>
        <bgColor indexed="42"/>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2" fillId="0" borderId="0" applyNumberFormat="0" applyFill="0" applyBorder="0" applyAlignment="0" applyProtection="0">
      <alignment vertical="top"/>
      <protection locked="0"/>
    </xf>
    <xf numFmtId="0" fontId="17" fillId="0" borderId="0"/>
    <xf numFmtId="0" fontId="17" fillId="0" borderId="0"/>
    <xf numFmtId="0" fontId="20" fillId="0" borderId="0" applyNumberFormat="0" applyFill="0" applyBorder="0" applyAlignment="0" applyProtection="0">
      <alignment vertical="top"/>
      <protection locked="0"/>
    </xf>
  </cellStyleXfs>
  <cellXfs count="181">
    <xf numFmtId="0" fontId="0" fillId="0" borderId="0" xfId="0"/>
    <xf numFmtId="0" fontId="5" fillId="4" borderId="1" xfId="0" applyFont="1" applyFill="1" applyBorder="1" applyProtection="1"/>
    <xf numFmtId="167" fontId="5" fillId="4" borderId="0" xfId="0" applyNumberFormat="1" applyFont="1" applyFill="1" applyBorder="1" applyProtection="1"/>
    <xf numFmtId="37" fontId="5" fillId="4" borderId="0" xfId="0" applyNumberFormat="1" applyFont="1" applyFill="1" applyBorder="1" applyProtection="1"/>
    <xf numFmtId="2" fontId="6" fillId="3" borderId="2" xfId="0" applyNumberFormat="1" applyFont="1" applyFill="1" applyBorder="1" applyAlignment="1" applyProtection="1">
      <alignment horizontal="center"/>
      <protection locked="0"/>
    </xf>
    <xf numFmtId="0" fontId="6" fillId="3" borderId="2" xfId="0" applyFont="1" applyFill="1" applyBorder="1" applyAlignment="1" applyProtection="1">
      <alignment horizontal="center"/>
      <protection locked="0"/>
    </xf>
    <xf numFmtId="0" fontId="5" fillId="4" borderId="10" xfId="0" applyFont="1" applyFill="1" applyBorder="1" applyAlignment="1" applyProtection="1">
      <alignment horizontal="left"/>
    </xf>
    <xf numFmtId="0" fontId="5" fillId="4" borderId="11" xfId="0" applyFont="1" applyFill="1" applyBorder="1"/>
    <xf numFmtId="0" fontId="5" fillId="4" borderId="11" xfId="0" applyFont="1" applyFill="1" applyBorder="1" applyAlignment="1" applyProtection="1">
      <alignment horizontal="left"/>
    </xf>
    <xf numFmtId="0" fontId="5" fillId="4" borderId="12" xfId="0" applyFont="1" applyFill="1" applyBorder="1"/>
    <xf numFmtId="0" fontId="8" fillId="0" borderId="0" xfId="0" applyFont="1"/>
    <xf numFmtId="0" fontId="9" fillId="0" borderId="0" xfId="0" applyFont="1"/>
    <xf numFmtId="165" fontId="5" fillId="4" borderId="7" xfId="0" applyNumberFormat="1" applyFont="1" applyFill="1" applyBorder="1" applyProtection="1"/>
    <xf numFmtId="0" fontId="5" fillId="4" borderId="8" xfId="0" applyFont="1" applyFill="1" applyBorder="1"/>
    <xf numFmtId="0" fontId="5" fillId="4" borderId="8" xfId="0" applyFont="1" applyFill="1" applyBorder="1" applyAlignment="1" applyProtection="1">
      <alignment horizontal="left"/>
    </xf>
    <xf numFmtId="164" fontId="5" fillId="4" borderId="9" xfId="0" applyNumberFormat="1" applyFont="1" applyFill="1" applyBorder="1" applyProtection="1"/>
    <xf numFmtId="0" fontId="6" fillId="2" borderId="1" xfId="0" applyFont="1" applyFill="1" applyBorder="1" applyAlignment="1" applyProtection="1">
      <alignment horizontal="left"/>
    </xf>
    <xf numFmtId="0" fontId="5" fillId="0" borderId="0" xfId="0" applyFont="1" applyFill="1" applyBorder="1"/>
    <xf numFmtId="0" fontId="5" fillId="0" borderId="0" xfId="0" applyFont="1" applyFill="1" applyBorder="1" applyAlignment="1" applyProtection="1">
      <alignment horizontal="left"/>
    </xf>
    <xf numFmtId="164" fontId="5" fillId="0" borderId="6" xfId="0" applyNumberFormat="1" applyFont="1" applyFill="1" applyBorder="1" applyProtection="1"/>
    <xf numFmtId="0" fontId="6" fillId="4" borderId="10" xfId="0" applyFont="1" applyFill="1" applyBorder="1" applyAlignment="1" applyProtection="1">
      <alignment horizontal="left"/>
    </xf>
    <xf numFmtId="164" fontId="5" fillId="4" borderId="12" xfId="0" applyNumberFormat="1" applyFont="1" applyFill="1" applyBorder="1" applyProtection="1"/>
    <xf numFmtId="0" fontId="5" fillId="4" borderId="1" xfId="0" applyFont="1" applyFill="1" applyBorder="1" applyAlignment="1" applyProtection="1">
      <alignment horizontal="left"/>
    </xf>
    <xf numFmtId="0" fontId="5" fillId="4" borderId="0" xfId="0" applyFont="1" applyFill="1" applyBorder="1"/>
    <xf numFmtId="165" fontId="5" fillId="4" borderId="0" xfId="0" applyNumberFormat="1" applyFont="1" applyFill="1" applyBorder="1" applyAlignment="1" applyProtection="1">
      <alignment horizontal="left"/>
    </xf>
    <xf numFmtId="0" fontId="5" fillId="4" borderId="6" xfId="0" applyFont="1" applyFill="1" applyBorder="1"/>
    <xf numFmtId="0" fontId="5" fillId="4" borderId="0" xfId="0" applyFont="1" applyFill="1" applyBorder="1" applyProtection="1"/>
    <xf numFmtId="165" fontId="5" fillId="4" borderId="0" xfId="0" applyNumberFormat="1" applyFont="1" applyFill="1" applyBorder="1" applyProtection="1"/>
    <xf numFmtId="166" fontId="6" fillId="3" borderId="2" xfId="0" applyNumberFormat="1" applyFont="1" applyFill="1" applyBorder="1" applyAlignment="1" applyProtection="1">
      <alignment horizontal="center"/>
      <protection locked="0"/>
    </xf>
    <xf numFmtId="0" fontId="5" fillId="4" borderId="0" xfId="0" applyFont="1" applyFill="1" applyBorder="1" applyAlignment="1" applyProtection="1">
      <alignment horizontal="left"/>
    </xf>
    <xf numFmtId="167" fontId="5" fillId="4" borderId="6" xfId="0" applyNumberFormat="1" applyFont="1" applyFill="1" applyBorder="1" applyProtection="1"/>
    <xf numFmtId="166" fontId="5" fillId="4" borderId="6" xfId="0" applyNumberFormat="1" applyFont="1" applyFill="1" applyBorder="1" applyProtection="1"/>
    <xf numFmtId="168" fontId="5" fillId="4" borderId="6" xfId="0" applyNumberFormat="1" applyFont="1" applyFill="1" applyBorder="1" applyProtection="1"/>
    <xf numFmtId="0" fontId="8" fillId="0" borderId="0" xfId="0" applyFont="1" applyProtection="1"/>
    <xf numFmtId="166" fontId="5" fillId="4" borderId="0" xfId="0" applyNumberFormat="1" applyFont="1" applyFill="1" applyBorder="1" applyProtection="1"/>
    <xf numFmtId="166" fontId="8" fillId="0" borderId="0" xfId="0" applyNumberFormat="1" applyFont="1" applyProtection="1"/>
    <xf numFmtId="0" fontId="5" fillId="4" borderId="6" xfId="0" applyFont="1" applyFill="1" applyBorder="1" applyProtection="1"/>
    <xf numFmtId="165" fontId="8" fillId="0" borderId="0" xfId="0" applyNumberFormat="1" applyFont="1" applyProtection="1"/>
    <xf numFmtId="0" fontId="5" fillId="4" borderId="0" xfId="0" applyFont="1" applyFill="1"/>
    <xf numFmtId="0" fontId="8" fillId="0" borderId="0" xfId="0" applyFont="1" applyAlignment="1" applyProtection="1">
      <alignment horizontal="left"/>
    </xf>
    <xf numFmtId="165" fontId="5" fillId="4" borderId="1" xfId="0" applyNumberFormat="1" applyFont="1" applyFill="1" applyBorder="1" applyProtection="1"/>
    <xf numFmtId="165" fontId="5" fillId="4" borderId="6" xfId="0" applyNumberFormat="1" applyFont="1" applyFill="1" applyBorder="1" applyProtection="1"/>
    <xf numFmtId="169" fontId="5" fillId="4" borderId="0" xfId="0" applyNumberFormat="1" applyFont="1" applyFill="1" applyBorder="1" applyProtection="1"/>
    <xf numFmtId="2" fontId="5" fillId="4" borderId="6" xfId="0" applyNumberFormat="1" applyFont="1" applyFill="1" applyBorder="1" applyProtection="1"/>
    <xf numFmtId="0" fontId="5" fillId="4" borderId="0" xfId="0" applyFont="1" applyFill="1" applyBorder="1" applyAlignment="1" applyProtection="1">
      <alignment horizontal="center"/>
    </xf>
    <xf numFmtId="0" fontId="6" fillId="3" borderId="3" xfId="0" applyFont="1" applyFill="1" applyBorder="1" applyAlignment="1" applyProtection="1">
      <alignment horizontal="left" indent="1"/>
      <protection locked="0"/>
    </xf>
    <xf numFmtId="0" fontId="5" fillId="4" borderId="0" xfId="0" applyFont="1" applyFill="1" applyBorder="1" applyAlignment="1" applyProtection="1">
      <alignment horizontal="left" indent="1"/>
    </xf>
    <xf numFmtId="2" fontId="5" fillId="4" borderId="6" xfId="0" applyNumberFormat="1" applyFont="1" applyFill="1" applyBorder="1"/>
    <xf numFmtId="165" fontId="5" fillId="4" borderId="8" xfId="0" applyNumberFormat="1" applyFont="1" applyFill="1" applyBorder="1" applyProtection="1"/>
    <xf numFmtId="37" fontId="5" fillId="4" borderId="8" xfId="0" applyNumberFormat="1" applyFont="1" applyFill="1" applyBorder="1" applyProtection="1"/>
    <xf numFmtId="167" fontId="5" fillId="4" borderId="9" xfId="0" applyNumberFormat="1" applyFont="1" applyFill="1" applyBorder="1" applyProtection="1"/>
    <xf numFmtId="0" fontId="5" fillId="0" borderId="1" xfId="0" applyFont="1" applyFill="1" applyBorder="1"/>
    <xf numFmtId="0" fontId="5" fillId="0" borderId="6" xfId="0" applyFont="1" applyFill="1" applyBorder="1"/>
    <xf numFmtId="0" fontId="5" fillId="4" borderId="11" xfId="0" applyFont="1" applyFill="1" applyBorder="1" applyAlignment="1" applyProtection="1">
      <alignment horizontal="center"/>
    </xf>
    <xf numFmtId="0" fontId="10" fillId="0" borderId="0" xfId="0" applyFont="1"/>
    <xf numFmtId="0" fontId="11" fillId="0" borderId="0" xfId="0" applyFont="1"/>
    <xf numFmtId="0" fontId="5" fillId="4" borderId="0" xfId="0" quotePrefix="1" applyFont="1" applyFill="1" applyBorder="1" applyAlignment="1" applyProtection="1">
      <alignment horizontal="left"/>
    </xf>
    <xf numFmtId="0" fontId="12" fillId="4" borderId="1" xfId="0" applyFont="1" applyFill="1" applyBorder="1" applyAlignment="1" applyProtection="1">
      <alignment horizontal="left"/>
    </xf>
    <xf numFmtId="0" fontId="12" fillId="4" borderId="0" xfId="0" applyFont="1" applyFill="1" applyBorder="1" applyProtection="1"/>
    <xf numFmtId="0" fontId="12" fillId="4" borderId="0" xfId="0" quotePrefix="1" applyFont="1" applyFill="1" applyBorder="1" applyAlignment="1" applyProtection="1">
      <alignment horizontal="left"/>
    </xf>
    <xf numFmtId="167" fontId="12" fillId="4" borderId="0" xfId="0" applyNumberFormat="1" applyFont="1" applyFill="1" applyBorder="1" applyProtection="1"/>
    <xf numFmtId="0" fontId="12" fillId="3" borderId="2" xfId="0" applyFont="1" applyFill="1" applyBorder="1" applyAlignment="1" applyProtection="1">
      <alignment horizontal="center"/>
      <protection locked="0"/>
    </xf>
    <xf numFmtId="0" fontId="12" fillId="4" borderId="6" xfId="0" applyFont="1" applyFill="1" applyBorder="1"/>
    <xf numFmtId="0" fontId="12" fillId="4" borderId="0" xfId="0" applyFont="1" applyFill="1" applyBorder="1"/>
    <xf numFmtId="166" fontId="12" fillId="4" borderId="0" xfId="0" applyNumberFormat="1" applyFont="1" applyFill="1" applyBorder="1" applyAlignment="1" applyProtection="1">
      <alignment horizontal="center"/>
    </xf>
    <xf numFmtId="166" fontId="5" fillId="4" borderId="0" xfId="0" applyNumberFormat="1" applyFont="1" applyFill="1" applyBorder="1" applyAlignment="1" applyProtection="1">
      <alignment horizontal="center"/>
    </xf>
    <xf numFmtId="0" fontId="5" fillId="4" borderId="7" xfId="0" applyFont="1" applyFill="1" applyBorder="1" applyProtection="1"/>
    <xf numFmtId="0" fontId="5" fillId="4" borderId="8" xfId="0" applyFont="1" applyFill="1" applyBorder="1" applyProtection="1"/>
    <xf numFmtId="0" fontId="5" fillId="4" borderId="9" xfId="0" applyFont="1" applyFill="1" applyBorder="1"/>
    <xf numFmtId="0" fontId="5" fillId="0" borderId="1" xfId="0" applyFont="1" applyFill="1" applyBorder="1" applyProtection="1"/>
    <xf numFmtId="0" fontId="5" fillId="0" borderId="0" xfId="0" applyFont="1" applyFill="1" applyBorder="1" applyProtection="1"/>
    <xf numFmtId="0" fontId="5" fillId="4" borderId="10" xfId="0" applyFont="1" applyFill="1" applyBorder="1" applyProtection="1"/>
    <xf numFmtId="0" fontId="5" fillId="4" borderId="11" xfId="0" applyFont="1" applyFill="1" applyBorder="1" applyProtection="1"/>
    <xf numFmtId="0" fontId="5" fillId="4" borderId="11" xfId="0" applyFont="1" applyFill="1" applyBorder="1" applyAlignment="1" applyProtection="1">
      <alignment horizontal="right"/>
    </xf>
    <xf numFmtId="0" fontId="5" fillId="4" borderId="0" xfId="0" applyFont="1" applyFill="1" applyBorder="1" applyAlignment="1" applyProtection="1">
      <alignment horizontal="right"/>
    </xf>
    <xf numFmtId="0" fontId="5" fillId="4" borderId="6" xfId="0" applyFont="1" applyFill="1" applyBorder="1" applyAlignment="1" applyProtection="1">
      <alignment horizontal="right"/>
    </xf>
    <xf numFmtId="0" fontId="12" fillId="4" borderId="0" xfId="0" applyFont="1" applyFill="1" applyBorder="1" applyAlignment="1" applyProtection="1">
      <alignment horizontal="left"/>
    </xf>
    <xf numFmtId="166" fontId="12" fillId="4" borderId="6" xfId="0" applyNumberFormat="1" applyFont="1" applyFill="1" applyBorder="1" applyProtection="1"/>
    <xf numFmtId="0" fontId="6" fillId="3" borderId="2" xfId="0" applyFont="1" applyFill="1" applyBorder="1" applyProtection="1">
      <protection locked="0"/>
    </xf>
    <xf numFmtId="0" fontId="5" fillId="4" borderId="1" xfId="0" applyFont="1" applyFill="1" applyBorder="1" applyAlignment="1" applyProtection="1">
      <alignment horizontal="fill"/>
    </xf>
    <xf numFmtId="0" fontId="5" fillId="4" borderId="0" xfId="0" applyFont="1" applyFill="1" applyBorder="1" applyAlignment="1" applyProtection="1">
      <alignment horizontal="fill"/>
    </xf>
    <xf numFmtId="0" fontId="5" fillId="4" borderId="6" xfId="0" applyFont="1" applyFill="1" applyBorder="1" applyAlignment="1" applyProtection="1">
      <alignment horizontal="fill"/>
    </xf>
    <xf numFmtId="166" fontId="5" fillId="4" borderId="8" xfId="0" applyNumberFormat="1" applyFont="1" applyFill="1" applyBorder="1" applyProtection="1"/>
    <xf numFmtId="167" fontId="5" fillId="4" borderId="8" xfId="0" applyNumberFormat="1" applyFont="1" applyFill="1" applyBorder="1" applyProtection="1"/>
    <xf numFmtId="166" fontId="5" fillId="4" borderId="9" xfId="0" applyNumberFormat="1" applyFont="1" applyFill="1" applyBorder="1" applyProtection="1"/>
    <xf numFmtId="0" fontId="5" fillId="0" borderId="3" xfId="0" applyFont="1" applyFill="1" applyBorder="1" applyAlignment="1" applyProtection="1">
      <alignment horizontal="fill"/>
    </xf>
    <xf numFmtId="0" fontId="5" fillId="0" borderId="5" xfId="0" applyFont="1" applyFill="1" applyBorder="1" applyAlignment="1" applyProtection="1">
      <alignment horizontal="fill"/>
    </xf>
    <xf numFmtId="0" fontId="5" fillId="0" borderId="4" xfId="0" applyFont="1" applyFill="1" applyBorder="1" applyAlignment="1" applyProtection="1">
      <alignment horizontal="fill"/>
    </xf>
    <xf numFmtId="0" fontId="12" fillId="4" borderId="10" xfId="0" applyFont="1" applyFill="1" applyBorder="1" applyProtection="1"/>
    <xf numFmtId="0" fontId="12" fillId="4" borderId="11" xfId="0" applyFont="1" applyFill="1" applyBorder="1"/>
    <xf numFmtId="0" fontId="12" fillId="4" borderId="11" xfId="0" applyFont="1" applyFill="1" applyBorder="1" applyProtection="1"/>
    <xf numFmtId="166" fontId="12" fillId="4" borderId="11" xfId="0" applyNumberFormat="1" applyFont="1" applyFill="1" applyBorder="1" applyProtection="1"/>
    <xf numFmtId="166" fontId="12" fillId="4" borderId="11" xfId="0" applyNumberFormat="1" applyFont="1" applyFill="1" applyBorder="1" applyProtection="1">
      <protection locked="0"/>
    </xf>
    <xf numFmtId="0" fontId="12" fillId="4" borderId="12" xfId="0" applyFont="1" applyFill="1" applyBorder="1" applyAlignment="1" applyProtection="1">
      <alignment horizontal="left"/>
      <protection locked="0"/>
    </xf>
    <xf numFmtId="0" fontId="12" fillId="4" borderId="0" xfId="0" applyFont="1" applyFill="1" applyBorder="1" applyProtection="1">
      <protection locked="0"/>
    </xf>
    <xf numFmtId="0" fontId="5" fillId="4" borderId="0" xfId="0" quotePrefix="1" applyFont="1" applyFill="1" applyBorder="1" applyAlignment="1" applyProtection="1">
      <alignment horizontal="center"/>
    </xf>
    <xf numFmtId="0" fontId="5" fillId="4" borderId="6" xfId="0" quotePrefix="1" applyFont="1" applyFill="1" applyBorder="1" applyAlignment="1" applyProtection="1">
      <alignment horizontal="right"/>
    </xf>
    <xf numFmtId="0" fontId="5" fillId="4" borderId="6" xfId="0" quotePrefix="1" applyFont="1" applyFill="1" applyBorder="1" applyAlignment="1" applyProtection="1">
      <alignment horizontal="center"/>
    </xf>
    <xf numFmtId="0" fontId="5" fillId="4" borderId="0" xfId="0" quotePrefix="1" applyFont="1" applyFill="1" applyBorder="1"/>
    <xf numFmtId="0" fontId="5" fillId="4" borderId="6" xfId="0" applyFont="1" applyFill="1" applyBorder="1" applyAlignment="1" applyProtection="1">
      <alignment horizontal="left"/>
    </xf>
    <xf numFmtId="0" fontId="5" fillId="4" borderId="1" xfId="0" applyFont="1" applyFill="1" applyBorder="1" applyAlignment="1" applyProtection="1">
      <alignment horizontal="left" indent="1"/>
    </xf>
    <xf numFmtId="167" fontId="6" fillId="3" borderId="2" xfId="0" applyNumberFormat="1" applyFont="1" applyFill="1" applyBorder="1" applyProtection="1">
      <protection locked="0"/>
    </xf>
    <xf numFmtId="166" fontId="6" fillId="3" borderId="2" xfId="0" applyNumberFormat="1" applyFont="1" applyFill="1" applyBorder="1" applyProtection="1">
      <protection locked="0"/>
    </xf>
    <xf numFmtId="0" fontId="6" fillId="3" borderId="3" xfId="0" applyFont="1" applyFill="1" applyBorder="1" applyAlignment="1" applyProtection="1">
      <alignment horizontal="left"/>
      <protection locked="0"/>
    </xf>
    <xf numFmtId="0" fontId="5" fillId="3" borderId="4" xfId="0" applyFont="1" applyFill="1" applyBorder="1"/>
    <xf numFmtId="166" fontId="12" fillId="4" borderId="0" xfId="0" applyNumberFormat="1" applyFont="1" applyFill="1" applyBorder="1" applyProtection="1"/>
    <xf numFmtId="166" fontId="12" fillId="4" borderId="0" xfId="0" applyNumberFormat="1" applyFont="1" applyFill="1" applyBorder="1" applyProtection="1">
      <protection locked="0"/>
    </xf>
    <xf numFmtId="0" fontId="12" fillId="4" borderId="0" xfId="0" applyFont="1" applyFill="1" applyBorder="1" applyAlignment="1" applyProtection="1">
      <alignment horizontal="center"/>
    </xf>
    <xf numFmtId="167" fontId="12" fillId="4" borderId="0" xfId="0" applyNumberFormat="1" applyFont="1" applyFill="1" applyBorder="1" applyAlignment="1" applyProtection="1">
      <alignment horizontal="center"/>
    </xf>
    <xf numFmtId="0" fontId="12" fillId="4" borderId="6" xfId="0" applyFont="1" applyFill="1" applyBorder="1" applyAlignment="1" applyProtection="1">
      <alignment horizontal="center"/>
    </xf>
    <xf numFmtId="0" fontId="12" fillId="4" borderId="1" xfId="0" applyFont="1" applyFill="1" applyBorder="1" applyProtection="1"/>
    <xf numFmtId="0" fontId="12" fillId="4" borderId="0" xfId="0" applyFont="1" applyFill="1" applyBorder="1" applyAlignment="1" applyProtection="1">
      <alignment horizontal="fill"/>
    </xf>
    <xf numFmtId="0" fontId="12" fillId="4" borderId="6" xfId="0" applyFont="1" applyFill="1" applyBorder="1" applyAlignment="1" applyProtection="1">
      <alignment horizontal="left"/>
    </xf>
    <xf numFmtId="0" fontId="12" fillId="3" borderId="3" xfId="0" applyFont="1" applyFill="1" applyBorder="1" applyAlignment="1" applyProtection="1">
      <alignment horizontal="left"/>
      <protection locked="0"/>
    </xf>
    <xf numFmtId="0" fontId="12" fillId="3" borderId="4" xfId="0" applyFont="1" applyFill="1" applyBorder="1"/>
    <xf numFmtId="167" fontId="12" fillId="4" borderId="0" xfId="0" applyNumberFormat="1" applyFont="1" applyFill="1" applyBorder="1" applyProtection="1">
      <protection locked="0"/>
    </xf>
    <xf numFmtId="0" fontId="12" fillId="4" borderId="0" xfId="0" applyFont="1" applyFill="1" applyBorder="1" applyAlignment="1" applyProtection="1">
      <alignment horizontal="left"/>
      <protection locked="0"/>
    </xf>
    <xf numFmtId="0" fontId="5" fillId="4" borderId="1" xfId="0" applyFont="1" applyFill="1" applyBorder="1"/>
    <xf numFmtId="0" fontId="5" fillId="4" borderId="0" xfId="0" applyFont="1" applyFill="1" applyBorder="1" applyAlignment="1">
      <alignment horizontal="center"/>
    </xf>
    <xf numFmtId="0" fontId="5" fillId="3" borderId="5" xfId="0" applyFont="1" applyFill="1" applyBorder="1"/>
    <xf numFmtId="168" fontId="5" fillId="4" borderId="0" xfId="0" applyNumberFormat="1" applyFont="1" applyFill="1" applyBorder="1" applyProtection="1"/>
    <xf numFmtId="167" fontId="5" fillId="4" borderId="0" xfId="0" applyNumberFormat="1" applyFont="1" applyFill="1" applyBorder="1" applyAlignment="1" applyProtection="1">
      <alignment horizontal="center"/>
    </xf>
    <xf numFmtId="0" fontId="13" fillId="3" borderId="4" xfId="0" applyFont="1" applyFill="1" applyBorder="1" applyAlignment="1"/>
    <xf numFmtId="168" fontId="5" fillId="4" borderId="0" xfId="0" applyNumberFormat="1" applyFont="1" applyFill="1" applyBorder="1" applyAlignment="1" applyProtection="1">
      <alignment horizontal="center"/>
    </xf>
    <xf numFmtId="9" fontId="5" fillId="4" borderId="0" xfId="0" applyNumberFormat="1" applyFont="1" applyFill="1" applyBorder="1" applyProtection="1"/>
    <xf numFmtId="0" fontId="5" fillId="4" borderId="7" xfId="0" applyFont="1" applyFill="1" applyBorder="1" applyAlignment="1" applyProtection="1">
      <alignment horizontal="left"/>
    </xf>
    <xf numFmtId="0" fontId="5" fillId="0" borderId="1" xfId="0" applyFont="1" applyFill="1" applyBorder="1" applyAlignment="1" applyProtection="1">
      <alignment horizontal="fill"/>
    </xf>
    <xf numFmtId="0" fontId="5" fillId="0" borderId="0" xfId="0" applyFont="1" applyFill="1" applyBorder="1" applyAlignment="1" applyProtection="1">
      <alignment horizontal="fill"/>
    </xf>
    <xf numFmtId="0" fontId="5" fillId="0" borderId="6" xfId="0" applyFont="1" applyFill="1" applyBorder="1" applyAlignment="1" applyProtection="1">
      <alignment horizontal="fill"/>
    </xf>
    <xf numFmtId="167" fontId="5" fillId="4" borderId="11" xfId="0" applyNumberFormat="1" applyFont="1" applyFill="1" applyBorder="1" applyProtection="1"/>
    <xf numFmtId="166" fontId="5" fillId="4" borderId="11" xfId="0" applyNumberFormat="1" applyFont="1" applyFill="1" applyBorder="1" applyProtection="1"/>
    <xf numFmtId="165" fontId="5" fillId="4" borderId="12" xfId="0" applyNumberFormat="1" applyFont="1" applyFill="1" applyBorder="1" applyProtection="1"/>
    <xf numFmtId="10" fontId="5" fillId="4" borderId="0" xfId="0" applyNumberFormat="1" applyFont="1" applyFill="1" applyBorder="1" applyProtection="1"/>
    <xf numFmtId="2" fontId="14" fillId="0" borderId="0" xfId="0" applyNumberFormat="1" applyFont="1" applyProtection="1"/>
    <xf numFmtId="0" fontId="5" fillId="4" borderId="7" xfId="0" applyFont="1" applyFill="1" applyBorder="1"/>
    <xf numFmtId="0" fontId="5" fillId="4" borderId="10" xfId="0" applyFont="1" applyFill="1" applyBorder="1"/>
    <xf numFmtId="167" fontId="8" fillId="0" borderId="0" xfId="0" applyNumberFormat="1" applyFont="1" applyProtection="1"/>
    <xf numFmtId="165" fontId="5" fillId="4" borderId="6" xfId="0" applyNumberFormat="1" applyFont="1" applyFill="1" applyBorder="1" applyAlignment="1" applyProtection="1">
      <alignment horizontal="left"/>
    </xf>
    <xf numFmtId="0" fontId="6" fillId="4" borderId="0" xfId="0" applyFont="1" applyFill="1" applyBorder="1" applyProtection="1">
      <protection locked="0"/>
    </xf>
    <xf numFmtId="0" fontId="5" fillId="4" borderId="0" xfId="0" applyFont="1" applyFill="1" applyBorder="1" applyAlignment="1" applyProtection="1">
      <alignment horizontal="right"/>
    </xf>
    <xf numFmtId="0" fontId="5" fillId="4" borderId="0" xfId="0" applyFont="1" applyFill="1" applyBorder="1" applyAlignment="1">
      <alignment horizontal="left"/>
    </xf>
    <xf numFmtId="167" fontId="5" fillId="4" borderId="6" xfId="0" applyNumberFormat="1" applyFont="1" applyFill="1" applyBorder="1" applyAlignment="1" applyProtection="1">
      <alignment horizontal="center"/>
    </xf>
    <xf numFmtId="0" fontId="6" fillId="4" borderId="8" xfId="0" applyFont="1" applyFill="1" applyBorder="1" applyAlignment="1" applyProtection="1">
      <alignment horizontal="left"/>
      <protection locked="0"/>
    </xf>
    <xf numFmtId="0" fontId="5" fillId="0" borderId="10" xfId="0" quotePrefix="1" applyFont="1" applyBorder="1"/>
    <xf numFmtId="0" fontId="5" fillId="0" borderId="11" xfId="0" applyFont="1" applyBorder="1" applyAlignment="1" applyProtection="1">
      <alignment horizontal="left"/>
    </xf>
    <xf numFmtId="0" fontId="5" fillId="0" borderId="11" xfId="0" applyFont="1" applyBorder="1"/>
    <xf numFmtId="0" fontId="6" fillId="0" borderId="11" xfId="0" applyFont="1" applyBorder="1" applyAlignment="1" applyProtection="1">
      <alignment horizontal="left"/>
      <protection locked="0"/>
    </xf>
    <xf numFmtId="0" fontId="5" fillId="0" borderId="12" xfId="0" applyFont="1" applyBorder="1" applyAlignment="1">
      <alignment horizontal="right"/>
    </xf>
    <xf numFmtId="0" fontId="5" fillId="0" borderId="7" xfId="0" quotePrefix="1" applyFont="1" applyBorder="1" applyAlignment="1">
      <alignment horizontal="left" indent="2"/>
    </xf>
    <xf numFmtId="0" fontId="5" fillId="0" borderId="8" xfId="0" applyFont="1" applyBorder="1" applyAlignment="1" applyProtection="1">
      <alignment horizontal="left"/>
    </xf>
    <xf numFmtId="0" fontId="5" fillId="0" borderId="8" xfId="0" applyFont="1" applyBorder="1"/>
    <xf numFmtId="0" fontId="6" fillId="0" borderId="8" xfId="0" applyFont="1" applyBorder="1" applyAlignment="1" applyProtection="1">
      <alignment horizontal="left"/>
      <protection locked="0"/>
    </xf>
    <xf numFmtId="0" fontId="5" fillId="0" borderId="9" xfId="0" applyFont="1" applyBorder="1" applyAlignment="1">
      <alignment horizontal="right"/>
    </xf>
    <xf numFmtId="0" fontId="9" fillId="0" borderId="10" xfId="0" applyFont="1" applyBorder="1"/>
    <xf numFmtId="0" fontId="15" fillId="5" borderId="11" xfId="0" applyFont="1" applyFill="1" applyBorder="1" applyAlignment="1" applyProtection="1">
      <alignment horizontal="fill"/>
    </xf>
    <xf numFmtId="0" fontId="15" fillId="5" borderId="12" xfId="0" applyFont="1" applyFill="1" applyBorder="1" applyAlignment="1" applyProtection="1">
      <alignment horizontal="fill"/>
    </xf>
    <xf numFmtId="0" fontId="15" fillId="5" borderId="1" xfId="0" quotePrefix="1" applyFont="1" applyFill="1" applyBorder="1" applyAlignment="1">
      <alignment horizontal="left"/>
    </xf>
    <xf numFmtId="0" fontId="15" fillId="5" borderId="0" xfId="0" applyFont="1" applyFill="1" applyBorder="1"/>
    <xf numFmtId="0" fontId="15" fillId="5" borderId="1" xfId="0" quotePrefix="1" applyFont="1" applyFill="1" applyBorder="1" applyAlignment="1">
      <alignment horizontal="center"/>
    </xf>
    <xf numFmtId="0" fontId="15" fillId="5" borderId="6" xfId="0" applyFont="1" applyFill="1" applyBorder="1"/>
    <xf numFmtId="0" fontId="15" fillId="5" borderId="1" xfId="0" applyFont="1" applyFill="1" applyBorder="1"/>
    <xf numFmtId="0" fontId="15" fillId="5" borderId="1" xfId="0" quotePrefix="1" applyFont="1" applyFill="1" applyBorder="1" applyAlignment="1" applyProtection="1">
      <alignment horizontal="center"/>
    </xf>
    <xf numFmtId="9" fontId="15" fillId="5" borderId="0" xfId="0" applyNumberFormat="1" applyFont="1" applyFill="1" applyBorder="1" applyProtection="1"/>
    <xf numFmtId="0" fontId="9" fillId="0" borderId="1" xfId="0" applyFont="1" applyBorder="1"/>
    <xf numFmtId="0" fontId="16" fillId="0" borderId="0" xfId="1" applyFont="1" applyAlignment="1" applyProtection="1">
      <alignment horizontal="center"/>
    </xf>
    <xf numFmtId="0" fontId="15" fillId="5" borderId="0" xfId="0" quotePrefix="1" applyFont="1" applyFill="1" applyBorder="1" applyAlignment="1" applyProtection="1">
      <alignment horizontal="center"/>
    </xf>
    <xf numFmtId="0" fontId="15" fillId="5" borderId="7" xfId="0" applyFont="1" applyFill="1" applyBorder="1"/>
    <xf numFmtId="0" fontId="15" fillId="5" borderId="8" xfId="0" applyFont="1" applyFill="1" applyBorder="1"/>
    <xf numFmtId="9" fontId="15" fillId="5" borderId="8" xfId="0" applyNumberFormat="1" applyFont="1" applyFill="1" applyBorder="1" applyProtection="1"/>
    <xf numFmtId="166" fontId="15" fillId="5" borderId="8" xfId="0" applyNumberFormat="1" applyFont="1" applyFill="1" applyBorder="1" applyProtection="1"/>
    <xf numFmtId="166" fontId="15" fillId="5" borderId="9" xfId="0" applyNumberFormat="1" applyFont="1" applyFill="1" applyBorder="1" applyProtection="1"/>
    <xf numFmtId="0" fontId="5" fillId="0" borderId="0" xfId="0" applyFont="1"/>
    <xf numFmtId="0" fontId="5" fillId="0" borderId="0" xfId="2" applyFont="1"/>
    <xf numFmtId="0" fontId="18" fillId="0" borderId="8" xfId="1" applyFont="1" applyFill="1" applyBorder="1" applyAlignment="1" applyProtection="1">
      <alignment horizontal="center"/>
    </xf>
    <xf numFmtId="0" fontId="15" fillId="5" borderId="0" xfId="3" applyFont="1" applyFill="1" applyBorder="1" applyProtection="1"/>
    <xf numFmtId="0" fontId="19" fillId="5" borderId="0" xfId="3" applyFont="1" applyFill="1" applyBorder="1"/>
    <xf numFmtId="0" fontId="19" fillId="5" borderId="0" xfId="3" applyFont="1" applyFill="1" applyBorder="1" applyProtection="1"/>
    <xf numFmtId="167" fontId="19" fillId="5" borderId="0" xfId="3" applyNumberFormat="1" applyFont="1" applyFill="1" applyBorder="1" applyProtection="1"/>
    <xf numFmtId="0" fontId="6" fillId="3" borderId="4" xfId="0" applyFont="1" applyFill="1" applyBorder="1" applyAlignment="1" applyProtection="1">
      <alignment horizontal="left" indent="1"/>
      <protection locked="0"/>
    </xf>
    <xf numFmtId="167" fontId="6" fillId="3" borderId="2" xfId="0" applyNumberFormat="1" applyFont="1" applyFill="1" applyBorder="1" applyProtection="1">
      <protection locked="0"/>
    </xf>
    <xf numFmtId="170" fontId="6" fillId="3" borderId="2" xfId="0" applyNumberFormat="1" applyFont="1" applyFill="1" applyBorder="1" applyProtection="1">
      <protection locked="0"/>
    </xf>
  </cellXfs>
  <cellStyles count="5">
    <cellStyle name="Hyperlink" xfId="1" builtinId="8"/>
    <cellStyle name="Hyperlink 2" xfId="4" xr:uid="{B056EDFC-9CAA-4F8C-92CD-E480BCD62F00}"/>
    <cellStyle name="Normal" xfId="0" builtinId="0"/>
    <cellStyle name="Normal_Oats" xfId="3" xr:uid="{7E6DE815-1C3D-4511-8335-5C752237F68F}"/>
    <cellStyle name="Normal_Raspc2" xfId="2" xr:uid="{00000000-0005-0000-0000-000002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46203</xdr:colOff>
      <xdr:row>2</xdr:row>
      <xdr:rowOff>189093</xdr:rowOff>
    </xdr:to>
    <xdr:pic>
      <xdr:nvPicPr>
        <xdr:cNvPr id="3" name="Picture 2" descr="Ontario logo">
          <a:extLst>
            <a:ext uri="{FF2B5EF4-FFF2-40B4-BE49-F238E27FC236}">
              <a16:creationId xmlns:a16="http://schemas.microsoft.com/office/drawing/2014/main" id="{C95700BC-5002-4BF2-AAAA-6C0EEFB1FF44}"/>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Z304"/>
  <sheetViews>
    <sheetView showGridLines="0" tabSelected="1" workbookViewId="0">
      <selection activeCell="A182" sqref="A182"/>
    </sheetView>
  </sheetViews>
  <sheetFormatPr defaultColWidth="8.83203125" defaultRowHeight="15.45" x14ac:dyDescent="0.4"/>
  <cols>
    <col min="1" max="1" width="22.75" style="171" customWidth="1"/>
    <col min="2" max="2" width="24" style="171" customWidth="1"/>
    <col min="3" max="3" width="15.75" style="171" customWidth="1"/>
    <col min="4" max="4" width="19.6640625" style="171" customWidth="1"/>
    <col min="5" max="6" width="15.83203125" style="171" customWidth="1"/>
    <col min="7" max="7" width="19.5" style="171" customWidth="1"/>
    <col min="8" max="8" width="17" style="171" customWidth="1"/>
    <col min="9" max="18" width="9.58203125" style="11" hidden="1" customWidth="1"/>
    <col min="19" max="19" width="7.58203125" style="11" hidden="1" customWidth="1"/>
    <col min="20" max="20" width="2.58203125" style="11" hidden="1" customWidth="1"/>
    <col min="21" max="21" width="16.58203125" style="11" hidden="1" customWidth="1"/>
    <col min="22" max="27" width="9.58203125" style="11" hidden="1" customWidth="1"/>
    <col min="28" max="40" width="8.83203125" style="11" hidden="1" customWidth="1"/>
    <col min="41" max="41" width="11.58203125" style="11" hidden="1" customWidth="1"/>
    <col min="42" max="49" width="7.58203125" style="11" hidden="1" customWidth="1"/>
    <col min="50" max="50" width="5.58203125" style="11" hidden="1" customWidth="1"/>
    <col min="51" max="52" width="8.83203125" style="11" hidden="1" customWidth="1"/>
    <col min="53" max="240" width="8.83203125" style="11" customWidth="1"/>
    <col min="241" max="241" width="7.58203125" style="11" customWidth="1"/>
    <col min="242" max="242" width="2.58203125" style="11" customWidth="1"/>
    <col min="243" max="249" width="8.83203125" style="11" customWidth="1"/>
    <col min="250" max="250" width="7.58203125" style="11" customWidth="1"/>
    <col min="251" max="251" width="2.58203125" style="11" customWidth="1"/>
    <col min="252" max="16384" width="8.83203125" style="11"/>
  </cols>
  <sheetData>
    <row r="1" spans="1:11" x14ac:dyDescent="0.4">
      <c r="A1" s="172" t="s">
        <v>219</v>
      </c>
    </row>
    <row r="2" spans="1:11" ht="18" customHeight="1" x14ac:dyDescent="0.45">
      <c r="A2" s="6"/>
      <c r="B2" s="7"/>
      <c r="C2" s="8" t="s">
        <v>216</v>
      </c>
      <c r="D2" s="7"/>
      <c r="E2" s="7"/>
      <c r="F2" s="7"/>
      <c r="G2" s="8" t="s">
        <v>221</v>
      </c>
      <c r="H2" s="9"/>
      <c r="I2" s="10"/>
      <c r="J2" s="10"/>
      <c r="K2" s="10"/>
    </row>
    <row r="3" spans="1:11" ht="22.5" customHeight="1" x14ac:dyDescent="0.45">
      <c r="A3" s="12">
        <v>201</v>
      </c>
      <c r="B3" s="13"/>
      <c r="C3" s="13"/>
      <c r="D3" s="13"/>
      <c r="E3" s="13"/>
      <c r="F3" s="14" t="s">
        <v>199</v>
      </c>
      <c r="G3" s="13"/>
      <c r="H3" s="15">
        <f ca="1">E157</f>
        <v>-23.805504157302085</v>
      </c>
      <c r="I3" s="10"/>
      <c r="J3" s="10"/>
      <c r="K3" s="10"/>
    </row>
    <row r="4" spans="1:11" ht="15.9" x14ac:dyDescent="0.45">
      <c r="A4" s="16" t="s">
        <v>55</v>
      </c>
      <c r="B4" s="17"/>
      <c r="C4" s="17"/>
      <c r="D4" s="17"/>
      <c r="E4" s="17"/>
      <c r="F4" s="18"/>
      <c r="G4" s="17"/>
      <c r="H4" s="19"/>
      <c r="I4" s="10"/>
      <c r="J4" s="10"/>
      <c r="K4" s="10"/>
    </row>
    <row r="5" spans="1:11" ht="15.9" x14ac:dyDescent="0.45">
      <c r="A5" s="20"/>
      <c r="B5" s="7"/>
      <c r="C5" s="7"/>
      <c r="D5" s="7"/>
      <c r="E5" s="7"/>
      <c r="F5" s="8"/>
      <c r="G5" s="7"/>
      <c r="H5" s="21"/>
      <c r="I5" s="10"/>
      <c r="J5" s="10"/>
      <c r="K5" s="10"/>
    </row>
    <row r="6" spans="1:11" ht="15.9" x14ac:dyDescent="0.45">
      <c r="A6" s="22" t="s">
        <v>56</v>
      </c>
      <c r="B6" s="23"/>
      <c r="C6" s="23"/>
      <c r="D6" s="5">
        <v>300</v>
      </c>
      <c r="E6" s="23"/>
      <c r="F6" s="23"/>
      <c r="G6" s="24" t="s">
        <v>0</v>
      </c>
      <c r="H6" s="25"/>
      <c r="I6" s="10"/>
      <c r="J6" s="10"/>
      <c r="K6" s="10"/>
    </row>
    <row r="7" spans="1:11" ht="15.9" x14ac:dyDescent="0.45">
      <c r="A7" s="22" t="s">
        <v>57</v>
      </c>
      <c r="B7" s="23"/>
      <c r="C7" s="26"/>
      <c r="D7" s="5">
        <v>0</v>
      </c>
      <c r="E7" s="23"/>
      <c r="F7" s="23"/>
      <c r="G7" s="27"/>
      <c r="H7" s="25"/>
      <c r="I7" s="10"/>
      <c r="J7" s="10"/>
      <c r="K7" s="10"/>
    </row>
    <row r="8" spans="1:11" ht="15.9" x14ac:dyDescent="0.45">
      <c r="A8" s="22" t="s">
        <v>58</v>
      </c>
      <c r="B8" s="23"/>
      <c r="C8" s="23"/>
      <c r="D8" s="28">
        <v>705</v>
      </c>
      <c r="E8" s="29" t="s">
        <v>66</v>
      </c>
      <c r="F8" s="3"/>
      <c r="G8" s="23"/>
      <c r="H8" s="30">
        <f>D8/D6</f>
        <v>2.35</v>
      </c>
      <c r="I8" s="10"/>
      <c r="J8" s="10"/>
      <c r="K8" s="10"/>
    </row>
    <row r="9" spans="1:11" ht="15.9" x14ac:dyDescent="0.45">
      <c r="A9" s="22" t="s">
        <v>59</v>
      </c>
      <c r="B9" s="23"/>
      <c r="C9" s="23"/>
      <c r="D9" s="5">
        <v>21</v>
      </c>
      <c r="E9" s="29" t="s">
        <v>207</v>
      </c>
      <c r="F9" s="3"/>
      <c r="G9" s="23"/>
      <c r="H9" s="31">
        <f>(114+D9+D11)*H8/365*100</f>
        <v>91.424657534246563</v>
      </c>
      <c r="I9" s="10"/>
      <c r="J9" s="10"/>
      <c r="K9" s="10"/>
    </row>
    <row r="10" spans="1:11" ht="15.9" x14ac:dyDescent="0.45">
      <c r="A10" s="22" t="s">
        <v>60</v>
      </c>
      <c r="B10" s="23"/>
      <c r="C10" s="23"/>
      <c r="D10" s="5">
        <v>28</v>
      </c>
      <c r="E10" s="29" t="s">
        <v>67</v>
      </c>
      <c r="F10" s="23"/>
      <c r="G10" s="23"/>
      <c r="H10" s="32">
        <f>D8/52</f>
        <v>13.557692307692308</v>
      </c>
      <c r="I10" s="10"/>
      <c r="J10" s="10"/>
      <c r="K10" s="10"/>
    </row>
    <row r="11" spans="1:11" ht="15.9" x14ac:dyDescent="0.45">
      <c r="A11" s="22" t="s">
        <v>61</v>
      </c>
      <c r="B11" s="23"/>
      <c r="C11" s="23"/>
      <c r="D11" s="5">
        <v>7</v>
      </c>
      <c r="E11" s="29" t="s">
        <v>68</v>
      </c>
      <c r="F11" s="26"/>
      <c r="G11" s="23"/>
      <c r="H11" s="32">
        <f>D8*D10/365</f>
        <v>54.082191780821915</v>
      </c>
      <c r="I11" s="10"/>
      <c r="J11" s="10"/>
      <c r="K11" s="10"/>
    </row>
    <row r="12" spans="1:11" ht="15.9" x14ac:dyDescent="0.45">
      <c r="A12" s="22" t="s">
        <v>62</v>
      </c>
      <c r="B12" s="23"/>
      <c r="C12" s="23"/>
      <c r="D12" s="5">
        <v>12.5</v>
      </c>
      <c r="E12" s="29" t="s">
        <v>69</v>
      </c>
      <c r="F12" s="26"/>
      <c r="G12" s="23"/>
      <c r="H12" s="32">
        <f>D12*D13/100</f>
        <v>11</v>
      </c>
      <c r="I12" s="10"/>
      <c r="J12" s="10"/>
      <c r="K12" s="10"/>
    </row>
    <row r="13" spans="1:11" ht="15.9" x14ac:dyDescent="0.45">
      <c r="A13" s="22" t="s">
        <v>63</v>
      </c>
      <c r="B13" s="23"/>
      <c r="C13" s="23"/>
      <c r="D13" s="5">
        <v>88</v>
      </c>
      <c r="E13" s="29" t="s">
        <v>191</v>
      </c>
      <c r="F13" s="26"/>
      <c r="G13" s="23"/>
      <c r="H13" s="31">
        <f>H12*D8</f>
        <v>7755</v>
      </c>
      <c r="I13" s="10"/>
      <c r="J13" s="10"/>
      <c r="K13" s="10"/>
    </row>
    <row r="14" spans="1:11" ht="15.9" x14ac:dyDescent="0.45">
      <c r="A14" s="22" t="s">
        <v>205</v>
      </c>
      <c r="B14" s="23"/>
      <c r="C14" s="23"/>
      <c r="D14" s="5">
        <v>96</v>
      </c>
      <c r="E14" s="29" t="s">
        <v>70</v>
      </c>
      <c r="F14" s="23"/>
      <c r="G14" s="23"/>
      <c r="H14" s="32">
        <f>H13/H11</f>
        <v>143.39285714285714</v>
      </c>
      <c r="I14" s="10"/>
      <c r="J14" s="10"/>
      <c r="K14" s="10"/>
    </row>
    <row r="15" spans="1:11" ht="15.9" x14ac:dyDescent="0.45">
      <c r="A15" s="22" t="s">
        <v>64</v>
      </c>
      <c r="B15" s="23"/>
      <c r="C15" s="23"/>
      <c r="D15" s="5">
        <v>94</v>
      </c>
      <c r="E15" s="29" t="s">
        <v>74</v>
      </c>
      <c r="F15" s="26"/>
      <c r="G15" s="23"/>
      <c r="H15" s="32">
        <f>H12*D14/100</f>
        <v>10.56</v>
      </c>
      <c r="I15" s="10"/>
      <c r="J15" s="10"/>
      <c r="K15" s="33">
        <v>0</v>
      </c>
    </row>
    <row r="16" spans="1:11" ht="15.9" x14ac:dyDescent="0.45">
      <c r="A16" s="22" t="s">
        <v>206</v>
      </c>
      <c r="B16" s="23"/>
      <c r="C16" s="23"/>
      <c r="D16" s="5">
        <v>56</v>
      </c>
      <c r="E16" s="29" t="s">
        <v>71</v>
      </c>
      <c r="F16" s="34"/>
      <c r="G16" s="23"/>
      <c r="H16" s="31">
        <f>H15*D8</f>
        <v>7444.8</v>
      </c>
      <c r="I16" s="10"/>
      <c r="J16" s="10"/>
      <c r="K16" s="35">
        <f ca="1">H139</f>
        <v>1633180.9000000001</v>
      </c>
    </row>
    <row r="17" spans="1:11" ht="15.9" x14ac:dyDescent="0.45">
      <c r="A17" s="22" t="s">
        <v>65</v>
      </c>
      <c r="B17" s="23"/>
      <c r="C17" s="23"/>
      <c r="D17" s="5">
        <v>27</v>
      </c>
      <c r="E17" s="29" t="s">
        <v>72</v>
      </c>
      <c r="F17" s="2"/>
      <c r="G17" s="23"/>
      <c r="H17" s="32">
        <f>H16/D6</f>
        <v>24.815999999999999</v>
      </c>
      <c r="I17" s="10"/>
      <c r="J17" s="10"/>
      <c r="K17" s="35">
        <f>H148</f>
        <v>219247.34</v>
      </c>
    </row>
    <row r="18" spans="1:11" ht="15.9" x14ac:dyDescent="0.45">
      <c r="A18" s="1"/>
      <c r="B18" s="23"/>
      <c r="C18" s="23"/>
      <c r="D18" s="26"/>
      <c r="E18" s="23"/>
      <c r="F18" s="26"/>
      <c r="G18" s="23"/>
      <c r="H18" s="36"/>
      <c r="I18" s="10"/>
      <c r="J18" s="10"/>
      <c r="K18" s="35">
        <f>H69</f>
        <v>1685837.3219072002</v>
      </c>
    </row>
    <row r="19" spans="1:11" ht="15.9" x14ac:dyDescent="0.45">
      <c r="A19" s="22" t="s">
        <v>75</v>
      </c>
      <c r="B19" s="23"/>
      <c r="C19" s="23"/>
      <c r="D19" s="5">
        <v>2600</v>
      </c>
      <c r="E19" s="29" t="s">
        <v>97</v>
      </c>
      <c r="F19" s="23"/>
      <c r="G19" s="23"/>
      <c r="H19" s="31">
        <f>365/(D20+D21)*D19</f>
        <v>7531.7460317460318</v>
      </c>
      <c r="I19" s="10"/>
      <c r="J19" s="10"/>
      <c r="K19" s="37">
        <f>I176</f>
        <v>418002.52360231464</v>
      </c>
    </row>
    <row r="20" spans="1:11" ht="15.9" x14ac:dyDescent="0.45">
      <c r="A20" s="22" t="s">
        <v>73</v>
      </c>
      <c r="B20" s="38"/>
      <c r="C20" s="23"/>
      <c r="D20" s="5">
        <v>112</v>
      </c>
      <c r="E20" s="29" t="s">
        <v>79</v>
      </c>
      <c r="F20" s="23"/>
      <c r="G20" s="23"/>
      <c r="H20" s="31">
        <f>IF(J21&lt;H19,J21,H19)</f>
        <v>6998</v>
      </c>
      <c r="I20" s="10"/>
      <c r="J20" s="10"/>
      <c r="K20" s="10"/>
    </row>
    <row r="21" spans="1:11" ht="15.9" x14ac:dyDescent="0.45">
      <c r="A21" s="22" t="s">
        <v>192</v>
      </c>
      <c r="B21" s="23"/>
      <c r="C21" s="23"/>
      <c r="D21" s="5">
        <v>14</v>
      </c>
      <c r="E21" s="29" t="s">
        <v>80</v>
      </c>
      <c r="F21" s="23"/>
      <c r="G21" s="23"/>
      <c r="H21" s="32">
        <f>H20/D6</f>
        <v>23.326666666666668</v>
      </c>
      <c r="I21" s="10"/>
      <c r="J21" s="33">
        <f>TRUNC(H16*D15/100)</f>
        <v>6998</v>
      </c>
      <c r="K21" s="39" t="s">
        <v>41</v>
      </c>
    </row>
    <row r="22" spans="1:11" ht="15.9" x14ac:dyDescent="0.45">
      <c r="A22" s="22" t="s">
        <v>76</v>
      </c>
      <c r="B22" s="23"/>
      <c r="C22" s="34"/>
      <c r="D22" s="5">
        <v>132.5</v>
      </c>
      <c r="E22" s="40" t="s">
        <v>1</v>
      </c>
      <c r="F22" s="27"/>
      <c r="G22" s="27"/>
      <c r="H22" s="41">
        <f>J21-H20</f>
        <v>0</v>
      </c>
      <c r="I22" s="10"/>
      <c r="J22" s="10"/>
      <c r="K22" s="39" t="s">
        <v>40</v>
      </c>
    </row>
    <row r="23" spans="1:11" ht="15.9" x14ac:dyDescent="0.45">
      <c r="A23" s="22" t="s">
        <v>77</v>
      </c>
      <c r="B23" s="26"/>
      <c r="C23" s="26"/>
      <c r="D23" s="5">
        <v>106</v>
      </c>
      <c r="E23" s="26"/>
      <c r="F23" s="26"/>
      <c r="G23" s="23"/>
      <c r="H23" s="25"/>
      <c r="I23" s="10"/>
      <c r="J23" s="10"/>
      <c r="K23" s="33">
        <f>D6</f>
        <v>300</v>
      </c>
    </row>
    <row r="24" spans="1:11" ht="15.9" x14ac:dyDescent="0.45">
      <c r="A24" s="22" t="s">
        <v>78</v>
      </c>
      <c r="B24" s="26"/>
      <c r="C24" s="26"/>
      <c r="D24" s="5">
        <v>110</v>
      </c>
      <c r="E24" s="26"/>
      <c r="F24" s="26"/>
      <c r="G24" s="23"/>
      <c r="H24" s="25"/>
      <c r="I24" s="10"/>
      <c r="J24" s="10"/>
      <c r="K24" s="35">
        <f>SUM(H111:H113)</f>
        <v>47426.399999999994</v>
      </c>
    </row>
    <row r="25" spans="1:11" ht="15.9" x14ac:dyDescent="0.45">
      <c r="A25" s="1" t="s">
        <v>218</v>
      </c>
      <c r="B25" s="2"/>
      <c r="C25" s="3"/>
      <c r="D25" s="4">
        <v>2</v>
      </c>
      <c r="E25" s="29"/>
      <c r="F25" s="26"/>
      <c r="G25" s="23"/>
      <c r="H25" s="31"/>
      <c r="I25" s="10"/>
      <c r="J25" s="10"/>
      <c r="K25" s="35">
        <f>SUM(H78:H91)</f>
        <v>1195608.3</v>
      </c>
    </row>
    <row r="26" spans="1:11" ht="15.9" x14ac:dyDescent="0.45">
      <c r="A26" s="1" t="s">
        <v>217</v>
      </c>
      <c r="B26" s="2"/>
      <c r="C26" s="3"/>
      <c r="D26" s="5">
        <v>101</v>
      </c>
      <c r="E26" s="29" t="s">
        <v>208</v>
      </c>
      <c r="F26" s="26"/>
      <c r="G26" s="23"/>
      <c r="H26" s="31">
        <f>D9+D16</f>
        <v>77</v>
      </c>
      <c r="I26" s="10"/>
      <c r="J26" s="10"/>
      <c r="K26" s="35">
        <f>H118+H119</f>
        <v>52764.92</v>
      </c>
    </row>
    <row r="27" spans="1:11" ht="15.9" x14ac:dyDescent="0.45">
      <c r="A27" s="1"/>
      <c r="B27" s="2"/>
      <c r="C27" s="3"/>
      <c r="D27" s="42"/>
      <c r="E27" s="29" t="s">
        <v>93</v>
      </c>
      <c r="F27" s="23"/>
      <c r="G27" s="23"/>
      <c r="H27" s="31">
        <f>H26+D20</f>
        <v>189</v>
      </c>
      <c r="I27" s="10"/>
      <c r="J27" s="10"/>
      <c r="K27" s="35">
        <f>H117+H120+H123+H126</f>
        <v>151156.79999999999</v>
      </c>
    </row>
    <row r="28" spans="1:11" ht="15.9" x14ac:dyDescent="0.45">
      <c r="A28" s="22" t="s">
        <v>81</v>
      </c>
      <c r="B28" s="2"/>
      <c r="C28" s="3"/>
      <c r="D28" s="42"/>
      <c r="E28" s="29" t="s">
        <v>94</v>
      </c>
      <c r="F28" s="23"/>
      <c r="G28" s="23"/>
      <c r="H28" s="31">
        <f>H16*D17</f>
        <v>201009.6</v>
      </c>
      <c r="I28" s="10"/>
      <c r="J28" s="10"/>
      <c r="K28" s="35">
        <f>H121+H122</f>
        <v>79637.239999999991</v>
      </c>
    </row>
    <row r="29" spans="1:11" ht="15.9" x14ac:dyDescent="0.45">
      <c r="A29" s="22" t="s">
        <v>82</v>
      </c>
      <c r="B29" s="2"/>
      <c r="C29" s="3"/>
      <c r="D29" s="5">
        <v>1.726</v>
      </c>
      <c r="E29" s="29" t="s">
        <v>95</v>
      </c>
      <c r="F29" s="3"/>
      <c r="G29" s="23"/>
      <c r="H29" s="31">
        <f>H20*D23</f>
        <v>741788</v>
      </c>
      <c r="I29" s="10"/>
      <c r="J29" s="10"/>
      <c r="K29" s="35">
        <f>H125+H124</f>
        <v>0</v>
      </c>
    </row>
    <row r="30" spans="1:11" ht="15.9" x14ac:dyDescent="0.45">
      <c r="A30" s="22" t="s">
        <v>87</v>
      </c>
      <c r="B30" s="23"/>
      <c r="C30" s="23"/>
      <c r="D30" s="5">
        <v>4.0999999999999996</v>
      </c>
      <c r="E30" s="23"/>
      <c r="F30" s="23"/>
      <c r="G30" s="23"/>
      <c r="H30" s="25"/>
      <c r="I30" s="10"/>
      <c r="J30" s="10"/>
      <c r="K30" s="10"/>
    </row>
    <row r="31" spans="1:11" ht="15.9" x14ac:dyDescent="0.45">
      <c r="A31" s="22" t="s">
        <v>92</v>
      </c>
      <c r="B31" s="23"/>
      <c r="C31" s="23"/>
      <c r="D31" s="5">
        <v>2.5</v>
      </c>
      <c r="E31" s="29" t="s">
        <v>98</v>
      </c>
      <c r="F31" s="23"/>
      <c r="G31" s="23"/>
      <c r="H31" s="25"/>
      <c r="I31" s="10"/>
      <c r="J31" s="10"/>
      <c r="K31" s="10"/>
    </row>
    <row r="32" spans="1:11" ht="15.9" x14ac:dyDescent="0.45">
      <c r="A32" s="1"/>
      <c r="B32" s="23"/>
      <c r="C32" s="23"/>
      <c r="D32" s="34"/>
      <c r="E32" s="29" t="s">
        <v>90</v>
      </c>
      <c r="F32" s="3"/>
      <c r="G32" s="23"/>
      <c r="H32" s="43">
        <f>D6*D29*(365-((D9+D11)*H8))/1000</f>
        <v>154.92575999999997</v>
      </c>
      <c r="I32" s="10"/>
      <c r="J32" s="10"/>
      <c r="K32" s="10"/>
    </row>
    <row r="33" spans="1:11" ht="15.9" x14ac:dyDescent="0.45">
      <c r="A33" s="22" t="s">
        <v>193</v>
      </c>
      <c r="B33" s="26"/>
      <c r="C33" s="38"/>
      <c r="D33" s="44" t="s">
        <v>96</v>
      </c>
      <c r="E33" s="29" t="s">
        <v>88</v>
      </c>
      <c r="F33" s="23"/>
      <c r="G33" s="26"/>
      <c r="H33" s="43">
        <f>D8*(D9+D11)*D30/1000</f>
        <v>80.933999999999997</v>
      </c>
      <c r="I33" s="10"/>
      <c r="J33" s="10"/>
      <c r="K33" s="10"/>
    </row>
    <row r="34" spans="1:11" ht="15.9" x14ac:dyDescent="0.45">
      <c r="A34" s="45" t="s">
        <v>115</v>
      </c>
      <c r="B34" s="178"/>
      <c r="C34" s="38"/>
      <c r="D34" s="5">
        <v>1.78</v>
      </c>
      <c r="E34" s="29" t="s">
        <v>84</v>
      </c>
      <c r="F34" s="23"/>
      <c r="G34" s="26"/>
      <c r="H34" s="43">
        <f>D7*D31*365/1000</f>
        <v>0</v>
      </c>
      <c r="I34" s="10"/>
      <c r="J34" s="10"/>
      <c r="K34" s="10"/>
    </row>
    <row r="35" spans="1:11" ht="15.9" x14ac:dyDescent="0.45">
      <c r="A35" s="45" t="s">
        <v>116</v>
      </c>
      <c r="B35" s="178"/>
      <c r="C35" s="38"/>
      <c r="D35" s="5">
        <v>7.22</v>
      </c>
      <c r="E35" s="46" t="str">
        <f t="shared" ref="E35:E40" si="0">A34</f>
        <v>Pouponnière  1</v>
      </c>
      <c r="F35" s="23"/>
      <c r="G35" s="23"/>
      <c r="H35" s="43">
        <f>D34*H13/1000</f>
        <v>13.803900000000001</v>
      </c>
      <c r="I35" s="10"/>
      <c r="J35" s="10"/>
      <c r="K35" s="10"/>
    </row>
    <row r="36" spans="1:11" ht="15.9" x14ac:dyDescent="0.45">
      <c r="A36" s="45" t="s">
        <v>117</v>
      </c>
      <c r="B36" s="178"/>
      <c r="C36" s="38"/>
      <c r="D36" s="5">
        <v>24.5</v>
      </c>
      <c r="E36" s="46" t="str">
        <f t="shared" si="0"/>
        <v>Pouponnière  2</v>
      </c>
      <c r="F36" s="3"/>
      <c r="G36" s="23"/>
      <c r="H36" s="43">
        <f>D35*H13/1000</f>
        <v>55.991099999999996</v>
      </c>
      <c r="I36" s="10"/>
      <c r="J36" s="10"/>
      <c r="K36" s="10"/>
    </row>
    <row r="37" spans="1:11" ht="15.9" x14ac:dyDescent="0.45">
      <c r="A37" s="45" t="s">
        <v>118</v>
      </c>
      <c r="B37" s="178"/>
      <c r="C37" s="38"/>
      <c r="D37" s="5">
        <v>45</v>
      </c>
      <c r="E37" s="46" t="str">
        <f t="shared" si="0"/>
        <v>Pouponnière  3</v>
      </c>
      <c r="F37" s="23"/>
      <c r="G37" s="23"/>
      <c r="H37" s="43">
        <f>D36*H13/1000</f>
        <v>189.9975</v>
      </c>
      <c r="I37" s="10"/>
      <c r="J37" s="10"/>
      <c r="K37" s="10"/>
    </row>
    <row r="38" spans="1:11" ht="15.9" x14ac:dyDescent="0.45">
      <c r="A38" s="45" t="s">
        <v>119</v>
      </c>
      <c r="B38" s="178"/>
      <c r="C38" s="38"/>
      <c r="D38" s="5">
        <v>85</v>
      </c>
      <c r="E38" s="46" t="str">
        <f t="shared" si="0"/>
        <v>Croissance-finition  1</v>
      </c>
      <c r="F38" s="26"/>
      <c r="G38" s="23"/>
      <c r="H38" s="43">
        <f>D37*H20/1000</f>
        <v>314.91000000000003</v>
      </c>
      <c r="I38" s="10"/>
      <c r="J38" s="10"/>
      <c r="K38" s="10"/>
    </row>
    <row r="39" spans="1:11" ht="15.9" x14ac:dyDescent="0.45">
      <c r="A39" s="45" t="s">
        <v>120</v>
      </c>
      <c r="B39" s="178"/>
      <c r="C39" s="38"/>
      <c r="D39" s="5">
        <v>161</v>
      </c>
      <c r="E39" s="46" t="str">
        <f t="shared" si="0"/>
        <v>Croissance-finition   2</v>
      </c>
      <c r="F39" s="3"/>
      <c r="G39" s="23"/>
      <c r="H39" s="47">
        <f>D38*H20/1000</f>
        <v>594.83000000000004</v>
      </c>
      <c r="I39" s="10"/>
      <c r="J39" s="10"/>
      <c r="K39" s="10"/>
    </row>
    <row r="40" spans="1:11" ht="15.9" x14ac:dyDescent="0.45">
      <c r="A40" s="40"/>
      <c r="B40" s="27"/>
      <c r="C40" s="27"/>
      <c r="D40" s="27"/>
      <c r="E40" s="46" t="str">
        <f t="shared" si="0"/>
        <v>Croissance-finition   3</v>
      </c>
      <c r="F40" s="23"/>
      <c r="G40" s="23"/>
      <c r="H40" s="47">
        <f>D39*H20/1000</f>
        <v>1126.6780000000001</v>
      </c>
      <c r="I40" s="10"/>
      <c r="J40" s="10"/>
      <c r="K40" s="10"/>
    </row>
    <row r="41" spans="1:11" ht="15.9" x14ac:dyDescent="0.45">
      <c r="A41" s="40" t="s">
        <v>2</v>
      </c>
      <c r="B41" s="27"/>
      <c r="C41" s="27"/>
      <c r="D41" s="27" t="s">
        <v>3</v>
      </c>
      <c r="E41" s="29" t="s">
        <v>99</v>
      </c>
      <c r="F41" s="3"/>
      <c r="G41" s="23"/>
      <c r="H41" s="25"/>
      <c r="I41" s="10"/>
      <c r="J41" s="10"/>
      <c r="K41" s="10"/>
    </row>
    <row r="42" spans="1:11" ht="15.9" x14ac:dyDescent="0.45">
      <c r="A42" s="12" t="s">
        <v>4</v>
      </c>
      <c r="B42" s="48"/>
      <c r="C42" s="48"/>
      <c r="D42" s="48" t="str">
        <f>IF(D41="y","N",(IF(D41="N","Y",#VALUE!)))</f>
        <v>N</v>
      </c>
      <c r="E42" s="14" t="s">
        <v>100</v>
      </c>
      <c r="F42" s="49"/>
      <c r="G42" s="13"/>
      <c r="H42" s="50">
        <f>(D37+D38+D39)/(D22-D17)</f>
        <v>2.7582938388625591</v>
      </c>
      <c r="I42" s="10"/>
      <c r="J42" s="10"/>
      <c r="K42" s="10"/>
    </row>
    <row r="43" spans="1:11" ht="15.9" x14ac:dyDescent="0.45">
      <c r="A43" s="51"/>
      <c r="B43" s="17"/>
      <c r="C43" s="17"/>
      <c r="D43" s="17"/>
      <c r="E43" s="17"/>
      <c r="F43" s="17"/>
      <c r="G43" s="17"/>
      <c r="H43" s="52"/>
      <c r="I43" s="10"/>
      <c r="J43" s="10"/>
      <c r="K43" s="10"/>
    </row>
    <row r="44" spans="1:11" s="55" customFormat="1" ht="15.9" x14ac:dyDescent="0.45">
      <c r="A44" s="6" t="s">
        <v>101</v>
      </c>
      <c r="B44" s="7"/>
      <c r="C44" s="7"/>
      <c r="D44" s="7"/>
      <c r="E44" s="53" t="s">
        <v>111</v>
      </c>
      <c r="F44" s="53" t="s">
        <v>112</v>
      </c>
      <c r="G44" s="53" t="s">
        <v>113</v>
      </c>
      <c r="H44" s="9"/>
      <c r="I44" s="54"/>
      <c r="J44" s="54"/>
      <c r="K44" s="54"/>
    </row>
    <row r="45" spans="1:11" ht="15.9" x14ac:dyDescent="0.45">
      <c r="A45" s="22" t="s">
        <v>121</v>
      </c>
      <c r="B45" s="26"/>
      <c r="C45" s="56" t="s">
        <v>104</v>
      </c>
      <c r="D45" s="2"/>
      <c r="E45" s="5">
        <v>2.36</v>
      </c>
      <c r="F45" s="5">
        <v>1.9903999999999999</v>
      </c>
      <c r="G45" s="5">
        <v>1.52</v>
      </c>
      <c r="H45" s="25"/>
      <c r="I45" s="10"/>
      <c r="J45" s="10"/>
      <c r="K45" s="10"/>
    </row>
    <row r="46" spans="1:11" ht="15.9" hidden="1" x14ac:dyDescent="0.45">
      <c r="A46" s="57" t="s">
        <v>5</v>
      </c>
      <c r="B46" s="58"/>
      <c r="C46" s="59" t="s">
        <v>53</v>
      </c>
      <c r="D46" s="60"/>
      <c r="E46" s="61">
        <v>2.0699999999999998</v>
      </c>
      <c r="F46" s="61">
        <v>2.0699999999999998</v>
      </c>
      <c r="G46" s="61">
        <v>2.0699999999999998</v>
      </c>
      <c r="H46" s="62"/>
      <c r="I46" s="10"/>
      <c r="J46" s="10"/>
      <c r="K46" s="10"/>
    </row>
    <row r="47" spans="1:11" ht="15.9" x14ac:dyDescent="0.45">
      <c r="A47" s="22" t="s">
        <v>102</v>
      </c>
      <c r="B47" s="26"/>
      <c r="C47" s="29" t="s">
        <v>105</v>
      </c>
      <c r="D47" s="2"/>
      <c r="E47" s="5">
        <v>395</v>
      </c>
      <c r="F47" s="5">
        <v>376.4</v>
      </c>
      <c r="G47" s="5">
        <v>298</v>
      </c>
      <c r="H47" s="25"/>
      <c r="I47" s="10"/>
      <c r="J47" s="10"/>
      <c r="K47" s="10"/>
    </row>
    <row r="48" spans="1:11" ht="15.9" x14ac:dyDescent="0.45">
      <c r="A48" s="22" t="s">
        <v>103</v>
      </c>
      <c r="B48" s="23"/>
      <c r="C48" s="29" t="s">
        <v>106</v>
      </c>
      <c r="D48" s="23"/>
      <c r="E48" s="5">
        <v>605</v>
      </c>
      <c r="F48" s="5">
        <v>605</v>
      </c>
      <c r="G48" s="5">
        <v>520</v>
      </c>
      <c r="H48" s="25"/>
      <c r="I48" s="10"/>
      <c r="J48" s="10"/>
      <c r="K48" s="10"/>
    </row>
    <row r="49" spans="1:11" s="55" customFormat="1" ht="15.9" x14ac:dyDescent="0.45">
      <c r="A49" s="22" t="s">
        <v>107</v>
      </c>
      <c r="B49" s="23"/>
      <c r="C49" s="29" t="s">
        <v>83</v>
      </c>
      <c r="D49" s="23"/>
      <c r="E49" s="5">
        <v>300</v>
      </c>
      <c r="F49" s="5">
        <v>300</v>
      </c>
      <c r="G49" s="5">
        <v>110</v>
      </c>
      <c r="H49" s="25"/>
      <c r="I49" s="54"/>
      <c r="J49" s="54"/>
      <c r="K49" s="54"/>
    </row>
    <row r="50" spans="1:11" ht="15.9" x14ac:dyDescent="0.45">
      <c r="A50" s="22" t="s">
        <v>108</v>
      </c>
      <c r="B50" s="23"/>
      <c r="C50" s="29" t="s">
        <v>106</v>
      </c>
      <c r="D50" s="23"/>
      <c r="E50" s="5">
        <v>250</v>
      </c>
      <c r="F50" s="5">
        <v>200</v>
      </c>
      <c r="G50" s="5">
        <v>140</v>
      </c>
      <c r="H50" s="25"/>
      <c r="I50" s="10"/>
      <c r="J50" s="10"/>
      <c r="K50" s="10"/>
    </row>
    <row r="51" spans="1:11" ht="15.9" hidden="1" x14ac:dyDescent="0.45">
      <c r="A51" s="57" t="s">
        <v>6</v>
      </c>
      <c r="B51" s="63"/>
      <c r="C51" s="63"/>
      <c r="D51" s="63"/>
      <c r="E51" s="61">
        <v>0</v>
      </c>
      <c r="F51" s="64">
        <f>H22</f>
        <v>0</v>
      </c>
      <c r="G51" s="61">
        <v>0</v>
      </c>
      <c r="H51" s="62"/>
      <c r="I51" s="10"/>
      <c r="J51" s="10"/>
      <c r="K51" s="10"/>
    </row>
    <row r="52" spans="1:11" ht="15.9" x14ac:dyDescent="0.45">
      <c r="A52" s="22" t="s">
        <v>114</v>
      </c>
      <c r="B52" s="23"/>
      <c r="C52" s="23"/>
      <c r="D52" s="23"/>
      <c r="E52" s="5">
        <v>7150</v>
      </c>
      <c r="F52" s="65">
        <f>H20</f>
        <v>6998</v>
      </c>
      <c r="G52" s="5">
        <v>6800</v>
      </c>
      <c r="H52" s="36"/>
      <c r="I52" s="10"/>
      <c r="J52" s="10"/>
      <c r="K52" s="10"/>
    </row>
    <row r="53" spans="1:11" ht="15.9" x14ac:dyDescent="0.45">
      <c r="A53" s="1"/>
      <c r="B53" s="23"/>
      <c r="C53" s="23"/>
      <c r="D53" s="23"/>
      <c r="E53" s="26"/>
      <c r="F53" s="26"/>
      <c r="G53" s="26"/>
      <c r="H53" s="25"/>
      <c r="I53" s="10"/>
      <c r="J53" s="10"/>
      <c r="K53" s="10"/>
    </row>
    <row r="54" spans="1:11" ht="15.9" x14ac:dyDescent="0.45">
      <c r="A54" s="22" t="s">
        <v>109</v>
      </c>
      <c r="B54" s="23"/>
      <c r="C54" s="23"/>
      <c r="D54" s="23"/>
      <c r="E54" s="26"/>
      <c r="F54" s="5">
        <v>20</v>
      </c>
      <c r="G54" s="29" t="s">
        <v>110</v>
      </c>
      <c r="H54" s="25"/>
      <c r="I54" s="10"/>
      <c r="J54" s="10"/>
      <c r="K54" s="10"/>
    </row>
    <row r="55" spans="1:11" ht="15.9" x14ac:dyDescent="0.45">
      <c r="A55" s="66"/>
      <c r="B55" s="13"/>
      <c r="C55" s="13"/>
      <c r="D55" s="13"/>
      <c r="E55" s="67"/>
      <c r="F55" s="67"/>
      <c r="G55" s="67"/>
      <c r="H55" s="68"/>
      <c r="I55" s="10"/>
      <c r="J55" s="10"/>
      <c r="K55" s="10"/>
    </row>
    <row r="56" spans="1:11" ht="15.9" x14ac:dyDescent="0.45">
      <c r="A56" s="69"/>
      <c r="B56" s="17"/>
      <c r="C56" s="17"/>
      <c r="D56" s="17"/>
      <c r="E56" s="70"/>
      <c r="F56" s="70"/>
      <c r="G56" s="70"/>
      <c r="H56" s="52"/>
      <c r="I56" s="10"/>
      <c r="J56" s="10"/>
      <c r="K56" s="10"/>
    </row>
    <row r="57" spans="1:11" s="55" customFormat="1" ht="15.9" x14ac:dyDescent="0.45">
      <c r="A57" s="71" t="s">
        <v>122</v>
      </c>
      <c r="B57" s="7"/>
      <c r="C57" s="7"/>
      <c r="D57" s="7"/>
      <c r="E57" s="72"/>
      <c r="F57" s="73" t="s">
        <v>130</v>
      </c>
      <c r="G57" s="72"/>
      <c r="H57" s="9"/>
      <c r="I57" s="54"/>
      <c r="J57" s="54"/>
      <c r="K57" s="54"/>
    </row>
    <row r="58" spans="1:11" ht="15.9" x14ac:dyDescent="0.45">
      <c r="A58" s="22" t="s">
        <v>123</v>
      </c>
      <c r="B58" s="26"/>
      <c r="C58" s="23"/>
      <c r="D58" s="23"/>
      <c r="E58" s="44" t="s">
        <v>131</v>
      </c>
      <c r="F58" s="74" t="s">
        <v>132</v>
      </c>
      <c r="G58" s="26"/>
      <c r="H58" s="75" t="s">
        <v>133</v>
      </c>
      <c r="I58" s="10"/>
      <c r="J58" s="10"/>
      <c r="K58" s="10"/>
    </row>
    <row r="59" spans="1:11" ht="15.9" hidden="1" x14ac:dyDescent="0.45">
      <c r="A59" s="57" t="s">
        <v>7</v>
      </c>
      <c r="B59" s="63"/>
      <c r="C59" s="63"/>
      <c r="D59" s="63"/>
      <c r="E59" s="64">
        <f>H22</f>
        <v>0</v>
      </c>
      <c r="F59" s="58">
        <f>F46</f>
        <v>2.0699999999999998</v>
      </c>
      <c r="G59" s="76" t="s">
        <v>8</v>
      </c>
      <c r="H59" s="77">
        <f>E59*D17*F59</f>
        <v>0</v>
      </c>
      <c r="I59" s="10"/>
      <c r="J59" s="10"/>
      <c r="K59" s="10"/>
    </row>
    <row r="60" spans="1:11" ht="15.9" x14ac:dyDescent="0.45">
      <c r="A60" s="22" t="s">
        <v>124</v>
      </c>
      <c r="B60" s="23"/>
      <c r="C60" s="23"/>
      <c r="D60" s="23"/>
      <c r="E60" s="65">
        <f>H20</f>
        <v>6998</v>
      </c>
      <c r="F60" s="23"/>
      <c r="G60" s="23"/>
      <c r="H60" s="25"/>
      <c r="I60" s="10"/>
      <c r="J60" s="10"/>
      <c r="K60" s="10"/>
    </row>
    <row r="61" spans="1:11" ht="15.9" x14ac:dyDescent="0.45">
      <c r="A61" s="22" t="s">
        <v>125</v>
      </c>
      <c r="B61" s="23"/>
      <c r="C61" s="23"/>
      <c r="D61" s="23"/>
      <c r="E61" s="5">
        <v>0</v>
      </c>
      <c r="F61" s="26">
        <f>F47</f>
        <v>376.4</v>
      </c>
      <c r="G61" s="29" t="s">
        <v>134</v>
      </c>
      <c r="H61" s="31">
        <f>E61*F61</f>
        <v>0</v>
      </c>
      <c r="I61" s="10"/>
      <c r="J61" s="10"/>
      <c r="K61" s="10"/>
    </row>
    <row r="62" spans="1:11" ht="15.9" x14ac:dyDescent="0.45">
      <c r="A62" s="22" t="s">
        <v>126</v>
      </c>
      <c r="B62" s="23"/>
      <c r="C62" s="23"/>
      <c r="D62" s="23"/>
      <c r="E62" s="5">
        <v>0</v>
      </c>
      <c r="F62" s="26">
        <f>F48</f>
        <v>605</v>
      </c>
      <c r="G62" s="29" t="s">
        <v>134</v>
      </c>
      <c r="H62" s="31">
        <f>E62*F62</f>
        <v>0</v>
      </c>
      <c r="I62" s="10"/>
      <c r="J62" s="10"/>
      <c r="K62" s="10"/>
    </row>
    <row r="63" spans="1:11" ht="15.9" x14ac:dyDescent="0.45">
      <c r="A63" s="22" t="s">
        <v>209</v>
      </c>
      <c r="B63" s="23"/>
      <c r="C63" s="23"/>
      <c r="D63" s="23"/>
      <c r="E63" s="5">
        <v>0</v>
      </c>
      <c r="F63" s="23"/>
      <c r="G63" s="23"/>
      <c r="H63" s="25"/>
      <c r="I63" s="10"/>
      <c r="J63" s="10"/>
      <c r="K63" s="10"/>
    </row>
    <row r="64" spans="1:11" ht="15.9" x14ac:dyDescent="0.45">
      <c r="A64" s="22" t="s">
        <v>127</v>
      </c>
      <c r="B64" s="23"/>
      <c r="C64" s="23"/>
      <c r="D64" s="23"/>
      <c r="E64" s="65">
        <f>H20-SUM(E61:E63)</f>
        <v>6998</v>
      </c>
      <c r="F64" s="26">
        <f>F45</f>
        <v>1.9903999999999999</v>
      </c>
      <c r="G64" s="29" t="s">
        <v>8</v>
      </c>
      <c r="H64" s="31">
        <f>E64*(D24/100*D23*F64*D26/100+D25)</f>
        <v>1654337.3219072002</v>
      </c>
      <c r="I64" s="10"/>
      <c r="J64" s="10"/>
      <c r="K64" s="10"/>
    </row>
    <row r="65" spans="1:11" ht="15.9" x14ac:dyDescent="0.45">
      <c r="A65" s="22" t="s">
        <v>201</v>
      </c>
      <c r="B65" s="23"/>
      <c r="C65" s="23"/>
      <c r="D65" s="23"/>
      <c r="E65" s="5">
        <v>105</v>
      </c>
      <c r="F65" s="26">
        <f>F49</f>
        <v>300</v>
      </c>
      <c r="G65" s="29" t="s">
        <v>134</v>
      </c>
      <c r="H65" s="31">
        <f>E65*F65</f>
        <v>31500</v>
      </c>
      <c r="I65" s="10"/>
      <c r="J65" s="10"/>
      <c r="K65" s="10"/>
    </row>
    <row r="66" spans="1:11" ht="15.9" x14ac:dyDescent="0.45">
      <c r="A66" s="22" t="s">
        <v>128</v>
      </c>
      <c r="B66" s="23"/>
      <c r="C66" s="26"/>
      <c r="D66" s="23"/>
      <c r="E66" s="5">
        <v>0</v>
      </c>
      <c r="F66" s="26">
        <f>F50</f>
        <v>200</v>
      </c>
      <c r="G66" s="29" t="s">
        <v>134</v>
      </c>
      <c r="H66" s="31">
        <f>E66*F66</f>
        <v>0</v>
      </c>
      <c r="I66" s="10"/>
      <c r="J66" s="10"/>
      <c r="K66" s="10"/>
    </row>
    <row r="67" spans="1:11" ht="15.9" x14ac:dyDescent="0.45">
      <c r="A67" s="22" t="s">
        <v>129</v>
      </c>
      <c r="B67" s="23"/>
      <c r="C67" s="26"/>
      <c r="D67" s="23"/>
      <c r="E67" s="26"/>
      <c r="F67" s="34"/>
      <c r="G67" s="2"/>
      <c r="H67" s="78">
        <v>0</v>
      </c>
      <c r="I67" s="10"/>
      <c r="J67" s="10"/>
      <c r="K67" s="10"/>
    </row>
    <row r="68" spans="1:11" ht="15.9" x14ac:dyDescent="0.45">
      <c r="A68" s="79" t="s">
        <v>9</v>
      </c>
      <c r="B68" s="80" t="s">
        <v>9</v>
      </c>
      <c r="C68" s="80" t="s">
        <v>9</v>
      </c>
      <c r="D68" s="23"/>
      <c r="E68" s="80" t="s">
        <v>9</v>
      </c>
      <c r="F68" s="34"/>
      <c r="G68" s="2"/>
      <c r="H68" s="81" t="s">
        <v>9</v>
      </c>
      <c r="I68" s="10"/>
      <c r="J68" s="10"/>
      <c r="K68" s="10"/>
    </row>
    <row r="69" spans="1:11" s="55" customFormat="1" ht="15.9" x14ac:dyDescent="0.45">
      <c r="A69" s="66"/>
      <c r="B69" s="14" t="s">
        <v>135</v>
      </c>
      <c r="C69" s="13"/>
      <c r="D69" s="13"/>
      <c r="E69" s="82">
        <f>E59+E64+E65+E66</f>
        <v>7103</v>
      </c>
      <c r="F69" s="82"/>
      <c r="G69" s="83"/>
      <c r="H69" s="84">
        <f>SUM(H59:H67)</f>
        <v>1685837.3219072002</v>
      </c>
      <c r="I69" s="54"/>
      <c r="J69" s="54"/>
      <c r="K69" s="54"/>
    </row>
    <row r="70" spans="1:11" s="55" customFormat="1" ht="15.9" x14ac:dyDescent="0.45">
      <c r="A70" s="85"/>
      <c r="B70" s="86"/>
      <c r="C70" s="86"/>
      <c r="D70" s="86"/>
      <c r="E70" s="86"/>
      <c r="F70" s="86"/>
      <c r="G70" s="86"/>
      <c r="H70" s="87"/>
      <c r="I70" s="54"/>
      <c r="J70" s="54"/>
      <c r="K70" s="54"/>
    </row>
    <row r="71" spans="1:11" ht="15.9" hidden="1" x14ac:dyDescent="0.45">
      <c r="A71" s="88" t="str">
        <f>IF(D41="Y","Number of Mkt Hogs",(IF(D41="N","Kilograms of Pork",#VALUE!)))&amp;" to Base Variable Costs on ==&gt; **"</f>
        <v>Number of Mkt Hogs to Base Variable Costs on ==&gt; **</v>
      </c>
      <c r="B71" s="89"/>
      <c r="C71" s="89"/>
      <c r="D71" s="89"/>
      <c r="E71" s="90"/>
      <c r="F71" s="91"/>
      <c r="G71" s="92">
        <f>F52</f>
        <v>6998</v>
      </c>
      <c r="H71" s="93" t="s">
        <v>10</v>
      </c>
      <c r="I71" s="10"/>
      <c r="J71" s="10"/>
      <c r="K71" s="10"/>
    </row>
    <row r="72" spans="1:11" ht="15.9" hidden="1" x14ac:dyDescent="0.45">
      <c r="A72" s="57" t="s">
        <v>11</v>
      </c>
      <c r="B72" s="63"/>
      <c r="C72" s="63"/>
      <c r="D72" s="63"/>
      <c r="E72" s="63"/>
      <c r="F72" s="63"/>
      <c r="G72" s="94" t="str">
        <f>IF(UPPER(LEFT(H71,1))=UPPER(LEFT(E94,1)),"","Choose Hogs or Kg")</f>
        <v/>
      </c>
      <c r="H72" s="62"/>
      <c r="I72" s="10"/>
      <c r="J72" s="10"/>
      <c r="K72" s="10"/>
    </row>
    <row r="73" spans="1:11" ht="15.9" hidden="1" x14ac:dyDescent="0.45">
      <c r="A73" s="22"/>
      <c r="B73" s="23"/>
      <c r="C73" s="23"/>
      <c r="D73" s="23"/>
      <c r="E73" s="23"/>
      <c r="F73" s="23"/>
      <c r="G73" s="23"/>
      <c r="H73" s="25"/>
      <c r="I73" s="10"/>
      <c r="J73" s="10"/>
      <c r="K73" s="10"/>
    </row>
    <row r="74" spans="1:11" ht="15.9" x14ac:dyDescent="0.45">
      <c r="A74" s="22" t="s">
        <v>136</v>
      </c>
      <c r="B74" s="23"/>
      <c r="C74" s="23"/>
      <c r="D74" s="44" t="s">
        <v>137</v>
      </c>
      <c r="E74" s="95" t="s">
        <v>139</v>
      </c>
      <c r="F74" s="34"/>
      <c r="G74" s="2"/>
      <c r="H74" s="96" t="s">
        <v>139</v>
      </c>
      <c r="I74" s="10"/>
      <c r="J74" s="10"/>
      <c r="K74" s="10"/>
    </row>
    <row r="75" spans="1:11" ht="15.9" x14ac:dyDescent="0.45">
      <c r="A75" s="1"/>
      <c r="B75" s="23"/>
      <c r="C75" s="23"/>
      <c r="D75" s="95" t="str">
        <f>"/"&amp;IF(D41="Y","porc de marché",(IF(D41="N","Kg Porc",#VALUE!)))</f>
        <v>/porc de marché</v>
      </c>
      <c r="E75" s="95" t="str">
        <f>""&amp;FIXED(G71,0,TRUE)&amp;IF(D41="Y"," porcs",(IF(D41="N"," Kg",#VALUE!)))</f>
        <v>6998 porcs</v>
      </c>
      <c r="F75" s="23"/>
      <c r="G75" s="95" t="str">
        <f>IF(D41="Y","/porc de marché",(IF(D41="N","/Kg Porc",#VALUE!)))</f>
        <v>/porc de marché</v>
      </c>
      <c r="H75" s="97" t="str">
        <f>" "&amp;FIXED(G77,0,TRUE)&amp;IF(D41="Y"," porcs",(IF(D41="N","Kg",#VALUE!)))</f>
        <v xml:space="preserve"> 6998 porcs</v>
      </c>
      <c r="I75" s="10"/>
      <c r="J75" s="10"/>
      <c r="K75" s="10"/>
    </row>
    <row r="76" spans="1:11" ht="15.9" x14ac:dyDescent="0.45">
      <c r="A76" s="22" t="s">
        <v>200</v>
      </c>
      <c r="B76" s="23"/>
      <c r="C76" s="26"/>
      <c r="D76" s="80" t="s">
        <v>9</v>
      </c>
      <c r="E76" s="29" t="s">
        <v>13</v>
      </c>
      <c r="F76" s="98"/>
      <c r="G76" s="80" t="s">
        <v>9</v>
      </c>
      <c r="H76" s="99" t="s">
        <v>14</v>
      </c>
      <c r="I76" s="10"/>
      <c r="J76" s="10"/>
      <c r="K76" s="10"/>
    </row>
    <row r="77" spans="1:11" ht="15.9" x14ac:dyDescent="0.45">
      <c r="A77" s="22" t="s">
        <v>202</v>
      </c>
      <c r="B77" s="26"/>
      <c r="C77" s="23"/>
      <c r="D77" s="23"/>
      <c r="E77" s="23"/>
      <c r="F77" s="23"/>
      <c r="G77" s="27">
        <f>IF(D41="Y",H20,(IF(D41="N",H20*D23+H22*D17,#VALUE!)))</f>
        <v>6998</v>
      </c>
      <c r="H77" s="25"/>
      <c r="I77" s="10"/>
      <c r="J77" s="10"/>
      <c r="K77" s="10"/>
    </row>
    <row r="78" spans="1:11" ht="15.9" x14ac:dyDescent="0.45">
      <c r="A78" s="100" t="str">
        <f t="shared" ref="A78:A83" si="1">A34</f>
        <v>Pouponnière  1</v>
      </c>
      <c r="B78" s="26"/>
      <c r="C78" s="26"/>
      <c r="D78" s="179">
        <v>3.95</v>
      </c>
      <c r="E78" s="102">
        <v>0</v>
      </c>
      <c r="F78" s="34"/>
      <c r="G78" s="2">
        <f>IF(D78=0,E78/$G$71,D78)</f>
        <v>3.95</v>
      </c>
      <c r="H78" s="31">
        <f>G78*G77</f>
        <v>27642.100000000002</v>
      </c>
      <c r="I78" s="10"/>
      <c r="J78" s="10"/>
      <c r="K78" s="10"/>
    </row>
    <row r="79" spans="1:11" ht="15.9" x14ac:dyDescent="0.45">
      <c r="A79" s="100" t="str">
        <f t="shared" si="1"/>
        <v>Pouponnière  2</v>
      </c>
      <c r="B79" s="26"/>
      <c r="C79" s="26"/>
      <c r="D79" s="179">
        <v>5.52</v>
      </c>
      <c r="E79" s="102">
        <v>0</v>
      </c>
      <c r="F79" s="34"/>
      <c r="G79" s="2">
        <f t="shared" ref="G79:G91" si="2">IF(D79=0,E79/$G$71,D79)</f>
        <v>5.52</v>
      </c>
      <c r="H79" s="31">
        <f>G79*G77</f>
        <v>38628.959999999999</v>
      </c>
      <c r="I79" s="10"/>
      <c r="J79" s="10"/>
      <c r="K79" s="10"/>
    </row>
    <row r="80" spans="1:11" ht="15.9" x14ac:dyDescent="0.45">
      <c r="A80" s="100" t="str">
        <f t="shared" si="1"/>
        <v>Pouponnière  3</v>
      </c>
      <c r="B80" s="26"/>
      <c r="C80" s="26"/>
      <c r="D80" s="179">
        <v>14.39</v>
      </c>
      <c r="E80" s="102">
        <v>0</v>
      </c>
      <c r="F80" s="34"/>
      <c r="G80" s="2">
        <f t="shared" si="2"/>
        <v>14.39</v>
      </c>
      <c r="H80" s="31">
        <f>G80*G77</f>
        <v>100701.22</v>
      </c>
      <c r="I80" s="10"/>
      <c r="J80" s="10"/>
      <c r="K80" s="10"/>
    </row>
    <row r="81" spans="1:11" ht="15.9" x14ac:dyDescent="0.45">
      <c r="A81" s="100" t="str">
        <f t="shared" si="1"/>
        <v>Croissance-finition  1</v>
      </c>
      <c r="B81" s="26"/>
      <c r="C81" s="26"/>
      <c r="D81" s="179">
        <v>22.58</v>
      </c>
      <c r="E81" s="102">
        <v>0</v>
      </c>
      <c r="F81" s="34"/>
      <c r="G81" s="2">
        <f t="shared" si="2"/>
        <v>22.58</v>
      </c>
      <c r="H81" s="31">
        <f>G81*G77</f>
        <v>158014.84</v>
      </c>
      <c r="I81" s="10"/>
      <c r="J81" s="10"/>
      <c r="K81" s="10"/>
    </row>
    <row r="82" spans="1:11" ht="15.9" x14ac:dyDescent="0.45">
      <c r="A82" s="100" t="str">
        <f t="shared" si="1"/>
        <v>Croissance-finition   2</v>
      </c>
      <c r="B82" s="26"/>
      <c r="C82" s="26"/>
      <c r="D82" s="179">
        <v>40.020000000000003</v>
      </c>
      <c r="E82" s="102">
        <v>0</v>
      </c>
      <c r="F82" s="34"/>
      <c r="G82" s="2">
        <f t="shared" si="2"/>
        <v>40.020000000000003</v>
      </c>
      <c r="H82" s="31">
        <f>G82*G77</f>
        <v>280059.96000000002</v>
      </c>
      <c r="I82" s="10"/>
      <c r="J82" s="10"/>
      <c r="K82" s="10"/>
    </row>
    <row r="83" spans="1:11" ht="15.9" x14ac:dyDescent="0.45">
      <c r="A83" s="100" t="str">
        <f t="shared" si="1"/>
        <v>Croissance-finition   3</v>
      </c>
      <c r="B83" s="26"/>
      <c r="C83" s="26"/>
      <c r="D83" s="179">
        <v>62.47</v>
      </c>
      <c r="E83" s="102">
        <v>0</v>
      </c>
      <c r="F83" s="34"/>
      <c r="G83" s="2">
        <f t="shared" si="2"/>
        <v>62.47</v>
      </c>
      <c r="H83" s="31">
        <f>G83*G77</f>
        <v>437165.06</v>
      </c>
      <c r="I83" s="10"/>
      <c r="J83" s="10"/>
      <c r="K83" s="10"/>
    </row>
    <row r="84" spans="1:11" ht="15.9" x14ac:dyDescent="0.45">
      <c r="A84" s="100" t="s">
        <v>91</v>
      </c>
      <c r="B84" s="26"/>
      <c r="C84" s="26"/>
      <c r="D84" s="179">
        <v>13.65</v>
      </c>
      <c r="E84" s="102">
        <v>0</v>
      </c>
      <c r="F84" s="34"/>
      <c r="G84" s="2">
        <f t="shared" si="2"/>
        <v>13.65</v>
      </c>
      <c r="H84" s="31">
        <f>G84*G77</f>
        <v>95522.7</v>
      </c>
      <c r="I84" s="10"/>
      <c r="J84" s="10"/>
      <c r="K84" s="10"/>
    </row>
    <row r="85" spans="1:11" ht="15.9" x14ac:dyDescent="0.45">
      <c r="A85" s="100" t="s">
        <v>89</v>
      </c>
      <c r="B85" s="23"/>
      <c r="C85" s="23"/>
      <c r="D85" s="179">
        <v>8.27</v>
      </c>
      <c r="E85" s="102">
        <v>0</v>
      </c>
      <c r="F85" s="34"/>
      <c r="G85" s="2">
        <f t="shared" si="2"/>
        <v>8.27</v>
      </c>
      <c r="H85" s="31">
        <f>G85*G77</f>
        <v>57873.46</v>
      </c>
      <c r="I85" s="10"/>
      <c r="J85" s="10"/>
      <c r="K85" s="10"/>
    </row>
    <row r="86" spans="1:11" ht="15.9" x14ac:dyDescent="0.45">
      <c r="A86" s="100" t="s">
        <v>140</v>
      </c>
      <c r="B86" s="103" t="s">
        <v>143</v>
      </c>
      <c r="C86" s="104"/>
      <c r="D86" s="101">
        <v>0</v>
      </c>
      <c r="E86" s="102">
        <v>0</v>
      </c>
      <c r="F86" s="23"/>
      <c r="G86" s="2">
        <f t="shared" si="2"/>
        <v>0</v>
      </c>
      <c r="H86" s="31">
        <f>G86*G77</f>
        <v>0</v>
      </c>
      <c r="I86" s="10"/>
      <c r="J86" s="10"/>
      <c r="K86" s="10"/>
    </row>
    <row r="87" spans="1:11" ht="15.9" x14ac:dyDescent="0.45">
      <c r="A87" s="100" t="s">
        <v>141</v>
      </c>
      <c r="B87" s="103" t="s">
        <v>144</v>
      </c>
      <c r="C87" s="104"/>
      <c r="D87" s="101">
        <v>0</v>
      </c>
      <c r="E87" s="102">
        <v>0</v>
      </c>
      <c r="F87" s="23"/>
      <c r="G87" s="2">
        <f t="shared" si="2"/>
        <v>0</v>
      </c>
      <c r="H87" s="31">
        <f>G87*G77</f>
        <v>0</v>
      </c>
      <c r="I87" s="10"/>
      <c r="J87" s="10"/>
      <c r="K87" s="10"/>
    </row>
    <row r="88" spans="1:11" ht="15.9" x14ac:dyDescent="0.45">
      <c r="A88" s="100" t="s">
        <v>142</v>
      </c>
      <c r="B88" s="103" t="s">
        <v>18</v>
      </c>
      <c r="C88" s="104"/>
      <c r="D88" s="101">
        <f>IF(D41="Y",0,(IF(D41="N",0/D23,#VALUE!)))</f>
        <v>0</v>
      </c>
      <c r="E88" s="102">
        <v>0</v>
      </c>
      <c r="F88" s="26"/>
      <c r="G88" s="2">
        <f t="shared" si="2"/>
        <v>0</v>
      </c>
      <c r="H88" s="31">
        <f>G88*G77</f>
        <v>0</v>
      </c>
      <c r="I88" s="10"/>
      <c r="J88" s="10"/>
      <c r="K88" s="10"/>
    </row>
    <row r="89" spans="1:11" s="55" customFormat="1" ht="15.9" x14ac:dyDescent="0.45">
      <c r="A89" s="100" t="s">
        <v>145</v>
      </c>
      <c r="B89" s="26"/>
      <c r="C89" s="23"/>
      <c r="D89" s="101">
        <v>0</v>
      </c>
      <c r="E89" s="102">
        <v>0</v>
      </c>
      <c r="F89" s="34"/>
      <c r="G89" s="2">
        <f t="shared" si="2"/>
        <v>0</v>
      </c>
      <c r="H89" s="31">
        <f>G89*G77</f>
        <v>0</v>
      </c>
      <c r="I89" s="54"/>
      <c r="J89" s="54"/>
      <c r="K89" s="54"/>
    </row>
    <row r="90" spans="1:11" s="55" customFormat="1" ht="15.9" x14ac:dyDescent="0.45">
      <c r="A90" s="100" t="s">
        <v>146</v>
      </c>
      <c r="B90" s="26"/>
      <c r="C90" s="23"/>
      <c r="D90" s="101">
        <v>0</v>
      </c>
      <c r="E90" s="102">
        <v>0</v>
      </c>
      <c r="F90" s="34"/>
      <c r="G90" s="2">
        <f t="shared" si="2"/>
        <v>0</v>
      </c>
      <c r="H90" s="31">
        <f>G90*G77</f>
        <v>0</v>
      </c>
      <c r="I90" s="54"/>
      <c r="J90" s="54"/>
      <c r="K90" s="54"/>
    </row>
    <row r="91" spans="1:11" s="55" customFormat="1" ht="15.9" x14ac:dyDescent="0.45">
      <c r="A91" s="100" t="s">
        <v>147</v>
      </c>
      <c r="B91" s="103" t="s">
        <v>19</v>
      </c>
      <c r="C91" s="104"/>
      <c r="D91" s="101">
        <f>IF(D41="Y",0,(IF(D41="N",0/D23,#VALUE!)))</f>
        <v>0</v>
      </c>
      <c r="E91" s="102">
        <v>0</v>
      </c>
      <c r="F91" s="34"/>
      <c r="G91" s="2">
        <f t="shared" si="2"/>
        <v>0</v>
      </c>
      <c r="H91" s="31">
        <f>G91*G77</f>
        <v>0</v>
      </c>
      <c r="I91" s="54"/>
      <c r="J91" s="54"/>
      <c r="K91" s="54"/>
    </row>
    <row r="92" spans="1:11" s="55" customFormat="1" ht="15.9" x14ac:dyDescent="0.45">
      <c r="A92" s="22"/>
      <c r="B92" s="23"/>
      <c r="C92" s="23"/>
      <c r="D92" s="26"/>
      <c r="E92" s="26"/>
      <c r="F92" s="34"/>
      <c r="G92" s="2"/>
      <c r="H92" s="31"/>
      <c r="I92" s="54"/>
      <c r="J92" s="54"/>
      <c r="K92" s="54"/>
    </row>
    <row r="93" spans="1:11" s="55" customFormat="1" ht="15.9" hidden="1" x14ac:dyDescent="0.45">
      <c r="A93" s="57" t="s">
        <v>20</v>
      </c>
      <c r="B93" s="63"/>
      <c r="C93" s="63"/>
      <c r="D93" s="58"/>
      <c r="E93" s="58"/>
      <c r="F93" s="105"/>
      <c r="G93" s="60"/>
      <c r="H93" s="77"/>
      <c r="I93" s="54"/>
      <c r="J93" s="54"/>
      <c r="K93" s="54"/>
    </row>
    <row r="94" spans="1:11" s="55" customFormat="1" ht="15.9" hidden="1" x14ac:dyDescent="0.45">
      <c r="A94" s="57" t="s">
        <v>21</v>
      </c>
      <c r="B94" s="63"/>
      <c r="C94" s="63"/>
      <c r="D94" s="106">
        <f>G71</f>
        <v>6998</v>
      </c>
      <c r="E94" s="58" t="str">
        <f>IF(D41="Y","Mkt Hogs)",(IF(D41="N","Kg Pork)",#VALUE!)))</f>
        <v>Mkt Hogs)</v>
      </c>
      <c r="F94" s="105"/>
      <c r="G94" s="60">
        <v>0</v>
      </c>
      <c r="H94" s="77">
        <v>0</v>
      </c>
      <c r="I94" s="54"/>
      <c r="J94" s="54"/>
      <c r="K94" s="54"/>
    </row>
    <row r="95" spans="1:11" s="55" customFormat="1" ht="15.9" hidden="1" x14ac:dyDescent="0.45">
      <c r="A95" s="57"/>
      <c r="B95" s="63"/>
      <c r="C95" s="63"/>
      <c r="D95" s="58"/>
      <c r="E95" s="58"/>
      <c r="F95" s="105"/>
      <c r="G95" s="60"/>
      <c r="H95" s="77"/>
      <c r="I95" s="54"/>
      <c r="J95" s="54"/>
      <c r="K95" s="54"/>
    </row>
    <row r="96" spans="1:11" s="55" customFormat="1" ht="15.9" hidden="1" x14ac:dyDescent="0.45">
      <c r="A96" s="57"/>
      <c r="B96" s="63"/>
      <c r="C96" s="63"/>
      <c r="D96" s="107" t="s">
        <v>137</v>
      </c>
      <c r="E96" s="107" t="s">
        <v>12</v>
      </c>
      <c r="F96" s="64"/>
      <c r="G96" s="108"/>
      <c r="H96" s="109" t="s">
        <v>12</v>
      </c>
      <c r="I96" s="54"/>
      <c r="J96" s="54"/>
      <c r="K96" s="54"/>
    </row>
    <row r="97" spans="1:11" s="55" customFormat="1" ht="15.9" hidden="1" x14ac:dyDescent="0.45">
      <c r="A97" s="57" t="s">
        <v>52</v>
      </c>
      <c r="B97" s="63"/>
      <c r="C97" s="63"/>
      <c r="D97" s="107" t="str">
        <f>"/"&amp;IF(D41="Y","Mkt Hog",(IF(D41="N","Kg Pork",#VALUE!)))</f>
        <v>/Mkt Hog</v>
      </c>
      <c r="E97" s="107" t="str">
        <f>""&amp;FIXED(G71,0,TRUE)&amp;IF(D41="Y"," Hog",(IF(D41="N"," Kg",#VALUE!)))</f>
        <v>6998 Hog</v>
      </c>
      <c r="F97" s="64"/>
      <c r="G97" s="107" t="str">
        <f>IF(D41="Y","/Mkt Hog",(IF(D41="N","/Kg Pork",#VALUE!)))</f>
        <v>/Mkt Hog</v>
      </c>
      <c r="H97" s="109" t="str">
        <f>" "&amp;FIXED(G77,0,TRUE)&amp;IF(D41="Y"," Hog",(IF(D41="N","Kg",#VALUE!)))</f>
        <v xml:space="preserve"> 6998 Hog</v>
      </c>
      <c r="I97" s="54"/>
      <c r="J97" s="54"/>
      <c r="K97" s="54"/>
    </row>
    <row r="98" spans="1:11" s="55" customFormat="1" ht="15.9" hidden="1" x14ac:dyDescent="0.45">
      <c r="A98" s="110"/>
      <c r="B98" s="63"/>
      <c r="C98" s="63"/>
      <c r="D98" s="111" t="s">
        <v>9</v>
      </c>
      <c r="E98" s="76" t="s">
        <v>13</v>
      </c>
      <c r="F98" s="105"/>
      <c r="G98" s="111" t="s">
        <v>9</v>
      </c>
      <c r="H98" s="112" t="s">
        <v>14</v>
      </c>
      <c r="I98" s="54"/>
      <c r="J98" s="54"/>
      <c r="K98" s="54"/>
    </row>
    <row r="99" spans="1:11" ht="15.9" hidden="1" x14ac:dyDescent="0.45">
      <c r="A99" s="57"/>
      <c r="B99" s="76" t="s">
        <v>22</v>
      </c>
      <c r="C99" s="63"/>
      <c r="D99" s="58"/>
      <c r="E99" s="58"/>
      <c r="F99" s="105"/>
      <c r="G99" s="60"/>
      <c r="H99" s="77"/>
      <c r="I99" s="10"/>
      <c r="J99" s="10"/>
      <c r="K99" s="10"/>
    </row>
    <row r="100" spans="1:11" ht="15.9" hidden="1" x14ac:dyDescent="0.45">
      <c r="A100" s="57" t="s">
        <v>15</v>
      </c>
      <c r="B100" s="113" t="s">
        <v>23</v>
      </c>
      <c r="C100" s="114"/>
      <c r="D100" s="115">
        <v>0</v>
      </c>
      <c r="E100" s="94">
        <v>0</v>
      </c>
      <c r="F100" s="105"/>
      <c r="G100" s="60">
        <f>E100/G71</f>
        <v>0</v>
      </c>
      <c r="H100" s="77">
        <f>G100*G77</f>
        <v>0</v>
      </c>
      <c r="I100" s="10"/>
      <c r="J100" s="10"/>
      <c r="K100" s="10"/>
    </row>
    <row r="101" spans="1:11" ht="15.9" hidden="1" x14ac:dyDescent="0.45">
      <c r="A101" s="57" t="s">
        <v>16</v>
      </c>
      <c r="B101" s="113" t="s">
        <v>24</v>
      </c>
      <c r="C101" s="114"/>
      <c r="D101" s="115">
        <f>IF(D41="Y",0,(IF(D41="N",0/D23,#VALUE!)))</f>
        <v>0</v>
      </c>
      <c r="E101" s="94">
        <v>0</v>
      </c>
      <c r="F101" s="105"/>
      <c r="G101" s="60">
        <f>E101/G71</f>
        <v>0</v>
      </c>
      <c r="H101" s="77">
        <f>G101*G77</f>
        <v>0</v>
      </c>
      <c r="I101" s="10"/>
      <c r="J101" s="10"/>
      <c r="K101" s="10"/>
    </row>
    <row r="102" spans="1:11" ht="15.9" hidden="1" x14ac:dyDescent="0.45">
      <c r="A102" s="57" t="s">
        <v>17</v>
      </c>
      <c r="B102" s="116" t="s">
        <v>18</v>
      </c>
      <c r="C102" s="63"/>
      <c r="D102" s="115">
        <f>IF(D41="Y",0,(IF(D41="N",0/D23,#VALUE!)))</f>
        <v>0</v>
      </c>
      <c r="E102" s="94">
        <v>0</v>
      </c>
      <c r="F102" s="105"/>
      <c r="G102" s="60">
        <f>E102/G71</f>
        <v>0</v>
      </c>
      <c r="H102" s="77">
        <f>G102*G77</f>
        <v>0</v>
      </c>
      <c r="I102" s="10"/>
      <c r="J102" s="10"/>
      <c r="K102" s="10"/>
    </row>
    <row r="103" spans="1:11" ht="15.9" x14ac:dyDescent="0.45">
      <c r="A103" s="117"/>
      <c r="B103" s="23"/>
      <c r="C103" s="23"/>
      <c r="D103" s="23"/>
      <c r="E103" s="23"/>
      <c r="F103" s="23"/>
      <c r="G103" s="80" t="s">
        <v>9</v>
      </c>
      <c r="H103" s="99" t="s">
        <v>14</v>
      </c>
      <c r="I103" s="10"/>
      <c r="J103" s="10"/>
      <c r="K103" s="10"/>
    </row>
    <row r="104" spans="1:11" ht="15.9" x14ac:dyDescent="0.45">
      <c r="A104" s="22" t="s">
        <v>148</v>
      </c>
      <c r="B104" s="23"/>
      <c r="C104" s="23"/>
      <c r="D104" s="23"/>
      <c r="E104" s="23"/>
      <c r="F104" s="23"/>
      <c r="G104" s="2">
        <f>H104/G77</f>
        <v>170.85</v>
      </c>
      <c r="H104" s="31">
        <f>SUM(H78:H102)</f>
        <v>1195608.3</v>
      </c>
      <c r="I104" s="10"/>
      <c r="J104" s="10"/>
      <c r="K104" s="10"/>
    </row>
    <row r="105" spans="1:11" ht="15.9" x14ac:dyDescent="0.45">
      <c r="A105" s="22"/>
      <c r="B105" s="23"/>
      <c r="C105" s="23"/>
      <c r="D105" s="23"/>
      <c r="E105" s="23"/>
      <c r="F105" s="23"/>
      <c r="G105" s="23"/>
      <c r="H105" s="36"/>
      <c r="I105" s="10"/>
      <c r="J105" s="10"/>
      <c r="K105" s="33"/>
    </row>
    <row r="106" spans="1:11" ht="15.9" x14ac:dyDescent="0.45">
      <c r="A106" s="117"/>
      <c r="B106" s="23"/>
      <c r="C106" s="23"/>
      <c r="D106" s="23"/>
      <c r="E106" s="23"/>
      <c r="F106" s="23"/>
      <c r="G106" s="23"/>
      <c r="H106" s="25"/>
      <c r="I106" s="10"/>
      <c r="J106" s="10"/>
      <c r="K106" s="33"/>
    </row>
    <row r="107" spans="1:11" ht="15.9" x14ac:dyDescent="0.45">
      <c r="A107" s="117"/>
      <c r="B107" s="23"/>
      <c r="C107" s="23"/>
      <c r="D107" s="23"/>
      <c r="E107" s="23"/>
      <c r="F107" s="23"/>
      <c r="G107" s="23"/>
      <c r="H107" s="25"/>
      <c r="I107" s="10"/>
      <c r="J107" s="10"/>
      <c r="K107" s="33"/>
    </row>
    <row r="108" spans="1:11" ht="15.9" x14ac:dyDescent="0.45">
      <c r="A108" s="117"/>
      <c r="B108" s="23"/>
      <c r="C108" s="23"/>
      <c r="D108" s="23"/>
      <c r="E108" s="23"/>
      <c r="F108" s="23"/>
      <c r="G108" s="23"/>
      <c r="H108" s="25"/>
      <c r="I108" s="10"/>
      <c r="J108" s="10"/>
      <c r="K108" s="33"/>
    </row>
    <row r="109" spans="1:11" ht="15.9" x14ac:dyDescent="0.45">
      <c r="A109" s="117"/>
      <c r="B109" s="23"/>
      <c r="C109" s="23"/>
      <c r="D109" s="44"/>
      <c r="E109" s="44"/>
      <c r="F109" s="118"/>
      <c r="G109" s="118"/>
      <c r="H109" s="97" t="s">
        <v>139</v>
      </c>
      <c r="I109" s="10"/>
      <c r="J109" s="10"/>
      <c r="K109" s="33"/>
    </row>
    <row r="110" spans="1:11" ht="15.9" x14ac:dyDescent="0.45">
      <c r="A110" s="22" t="s">
        <v>149</v>
      </c>
      <c r="B110" s="23"/>
      <c r="C110" s="23"/>
      <c r="D110" s="44" t="s">
        <v>131</v>
      </c>
      <c r="E110" s="44" t="s">
        <v>153</v>
      </c>
      <c r="F110" s="44"/>
      <c r="G110" s="44" t="str">
        <f>G75</f>
        <v>/porc de marché</v>
      </c>
      <c r="H110" s="97" t="str">
        <f>" "&amp;FIXED(G77,0,TRUE)&amp;IF(D41="Y"," porcs",(IF(D41="N","Kg",#VALUE!)))</f>
        <v xml:space="preserve"> 6998 porcs</v>
      </c>
      <c r="I110" s="10"/>
      <c r="J110" s="10"/>
      <c r="K110" s="10"/>
    </row>
    <row r="111" spans="1:11" ht="15.9" x14ac:dyDescent="0.45">
      <c r="A111" s="22" t="s">
        <v>150</v>
      </c>
      <c r="B111" s="23"/>
      <c r="C111" s="23"/>
      <c r="D111" s="78">
        <v>0</v>
      </c>
      <c r="E111" s="78">
        <f>F48</f>
        <v>605</v>
      </c>
      <c r="F111" s="34"/>
      <c r="G111" s="2">
        <f>D111*E111/G71</f>
        <v>0</v>
      </c>
      <c r="H111" s="31">
        <f>G111*G77</f>
        <v>0</v>
      </c>
      <c r="I111" s="10"/>
      <c r="J111" s="10"/>
      <c r="K111" s="10"/>
    </row>
    <row r="112" spans="1:11" ht="15.9" x14ac:dyDescent="0.45">
      <c r="A112" s="22" t="s">
        <v>151</v>
      </c>
      <c r="B112" s="23"/>
      <c r="C112" s="23"/>
      <c r="D112" s="78">
        <f>D6*0.42-E63</f>
        <v>126</v>
      </c>
      <c r="E112" s="78">
        <f>F47</f>
        <v>376.4</v>
      </c>
      <c r="F112" s="34"/>
      <c r="G112" s="2">
        <f>D112*E112/G71</f>
        <v>6.7771363246641894</v>
      </c>
      <c r="H112" s="31">
        <f>G112*G77</f>
        <v>47426.399999999994</v>
      </c>
      <c r="I112" s="10"/>
      <c r="J112" s="33"/>
      <c r="K112" s="33"/>
    </row>
    <row r="113" spans="1:11" ht="15.9" x14ac:dyDescent="0.45">
      <c r="A113" s="22" t="s">
        <v>152</v>
      </c>
      <c r="B113" s="103" t="s">
        <v>19</v>
      </c>
      <c r="C113" s="119"/>
      <c r="D113" s="78">
        <v>0</v>
      </c>
      <c r="E113" s="78">
        <v>0</v>
      </c>
      <c r="F113" s="34"/>
      <c r="G113" s="2">
        <f>D113*E113/G71</f>
        <v>0</v>
      </c>
      <c r="H113" s="31">
        <f>G113*G77</f>
        <v>0</v>
      </c>
      <c r="I113" s="10"/>
      <c r="J113" s="10"/>
      <c r="K113" s="10"/>
    </row>
    <row r="114" spans="1:11" ht="15.9" x14ac:dyDescent="0.45">
      <c r="A114" s="1"/>
      <c r="B114" s="23"/>
      <c r="C114" s="23"/>
      <c r="D114" s="34"/>
      <c r="E114" s="34"/>
      <c r="F114" s="34"/>
      <c r="G114" s="2"/>
      <c r="H114" s="31"/>
      <c r="I114" s="10"/>
      <c r="J114" s="10"/>
      <c r="K114" s="10"/>
    </row>
    <row r="115" spans="1:11" ht="15.9" x14ac:dyDescent="0.45">
      <c r="A115" s="1"/>
      <c r="B115" s="23"/>
      <c r="C115" s="120"/>
      <c r="D115" s="44" t="s">
        <v>137</v>
      </c>
      <c r="E115" s="95" t="s">
        <v>139</v>
      </c>
      <c r="F115" s="65"/>
      <c r="G115" s="121"/>
      <c r="H115" s="97" t="s">
        <v>139</v>
      </c>
      <c r="I115" s="10"/>
      <c r="J115" s="10"/>
      <c r="K115" s="10"/>
    </row>
    <row r="116" spans="1:11" ht="15.9" x14ac:dyDescent="0.45">
      <c r="A116" s="1"/>
      <c r="B116" s="23"/>
      <c r="C116" s="23"/>
      <c r="D116" s="95" t="str">
        <f>"/"&amp;IF(D41="Y","porc de marché",(IF(D41="N","Kg Porc",#VALUE!)))</f>
        <v>/porc de marché</v>
      </c>
      <c r="E116" s="95" t="str">
        <f>""&amp;FIXED(G71,0,TRUE)&amp;IF(D41="Y"," porcs",(IF(D41="N"," Kg",#VALUE!)))</f>
        <v>6998 porcs</v>
      </c>
      <c r="F116" s="65"/>
      <c r="G116" s="44" t="str">
        <f>IF(D41="Y","/porc de marché",(IF(D41="N","/Kg Porc",#VALUE!)))</f>
        <v>/porc de marché</v>
      </c>
      <c r="H116" s="97" t="str">
        <f>" "&amp;FIXED(G77,0,TRUE)&amp;IF(D41="Y"," porcs",(IF(D41="N","Kg",#VALUE!)))</f>
        <v xml:space="preserve"> 6998 porcs</v>
      </c>
      <c r="I116" s="10"/>
      <c r="J116" s="10"/>
      <c r="K116" s="10"/>
    </row>
    <row r="117" spans="1:11" ht="15.9" x14ac:dyDescent="0.45">
      <c r="A117" s="22" t="s">
        <v>203</v>
      </c>
      <c r="B117" s="23"/>
      <c r="C117" s="23"/>
      <c r="D117" s="180">
        <v>14.33</v>
      </c>
      <c r="E117" s="102">
        <v>0</v>
      </c>
      <c r="F117" s="23"/>
      <c r="G117" s="2">
        <f t="shared" ref="G117:G126" si="3">IF(D117=0,E117/$G$71,D117)</f>
        <v>14.33</v>
      </c>
      <c r="H117" s="31">
        <f>G117*G77</f>
        <v>100281.34</v>
      </c>
      <c r="I117" s="10"/>
      <c r="J117" s="10"/>
      <c r="K117" s="33"/>
    </row>
    <row r="118" spans="1:11" ht="15.9" x14ac:dyDescent="0.45">
      <c r="A118" s="22" t="s">
        <v>154</v>
      </c>
      <c r="B118" s="23"/>
      <c r="C118" s="23"/>
      <c r="D118" s="180">
        <v>5.45</v>
      </c>
      <c r="E118" s="102">
        <v>0</v>
      </c>
      <c r="F118" s="23"/>
      <c r="G118" s="2">
        <f t="shared" si="3"/>
        <v>5.45</v>
      </c>
      <c r="H118" s="31">
        <f>G118*G77</f>
        <v>38139.1</v>
      </c>
      <c r="I118" s="10"/>
      <c r="J118" s="10"/>
      <c r="K118" s="33"/>
    </row>
    <row r="119" spans="1:11" ht="15.9" x14ac:dyDescent="0.45">
      <c r="A119" s="38" t="s">
        <v>204</v>
      </c>
      <c r="B119" s="22"/>
      <c r="C119" s="23"/>
      <c r="D119" s="180">
        <v>2.09</v>
      </c>
      <c r="E119" s="102">
        <v>0</v>
      </c>
      <c r="F119" s="26"/>
      <c r="G119" s="2">
        <f t="shared" si="3"/>
        <v>2.09</v>
      </c>
      <c r="H119" s="31">
        <f>G119*G77</f>
        <v>14625.82</v>
      </c>
      <c r="I119" s="10"/>
      <c r="J119" s="10"/>
      <c r="K119" s="33"/>
    </row>
    <row r="120" spans="1:11" ht="15.9" x14ac:dyDescent="0.45">
      <c r="A120" s="22" t="s">
        <v>155</v>
      </c>
      <c r="B120" s="23"/>
      <c r="C120" s="23"/>
      <c r="D120" s="180">
        <v>0</v>
      </c>
      <c r="E120" s="102">
        <v>0</v>
      </c>
      <c r="F120" s="34"/>
      <c r="G120" s="2">
        <f t="shared" si="3"/>
        <v>0</v>
      </c>
      <c r="H120" s="31">
        <f>G120*G77</f>
        <v>0</v>
      </c>
      <c r="I120" s="10"/>
      <c r="J120" s="10"/>
      <c r="K120" s="33"/>
    </row>
    <row r="121" spans="1:11" ht="15.9" x14ac:dyDescent="0.45">
      <c r="A121" s="22" t="s">
        <v>156</v>
      </c>
      <c r="B121" s="23"/>
      <c r="C121" s="23"/>
      <c r="D121" s="180">
        <v>1.01</v>
      </c>
      <c r="E121" s="102">
        <v>0</v>
      </c>
      <c r="F121" s="34"/>
      <c r="G121" s="2">
        <f t="shared" si="3"/>
        <v>1.01</v>
      </c>
      <c r="H121" s="31">
        <f>G121*G77</f>
        <v>7067.9800000000005</v>
      </c>
      <c r="I121" s="10"/>
      <c r="J121" s="10"/>
      <c r="K121" s="10"/>
    </row>
    <row r="122" spans="1:11" ht="15.9" x14ac:dyDescent="0.45">
      <c r="A122" s="22" t="s">
        <v>157</v>
      </c>
      <c r="B122" s="23"/>
      <c r="C122" s="23"/>
      <c r="D122" s="180">
        <v>10.37</v>
      </c>
      <c r="E122" s="102">
        <v>0</v>
      </c>
      <c r="F122" s="34"/>
      <c r="G122" s="2">
        <f t="shared" si="3"/>
        <v>10.37</v>
      </c>
      <c r="H122" s="31">
        <f>G122*G77</f>
        <v>72569.259999999995</v>
      </c>
      <c r="I122" s="10"/>
      <c r="J122" s="10"/>
      <c r="K122" s="10"/>
    </row>
    <row r="123" spans="1:11" ht="15.9" x14ac:dyDescent="0.45">
      <c r="A123" s="22" t="s">
        <v>158</v>
      </c>
      <c r="B123" s="23"/>
      <c r="C123" s="23"/>
      <c r="D123" s="180">
        <v>0</v>
      </c>
      <c r="E123" s="102">
        <v>0</v>
      </c>
      <c r="F123" s="34"/>
      <c r="G123" s="2">
        <f t="shared" si="3"/>
        <v>0</v>
      </c>
      <c r="H123" s="31">
        <f>G123*G77</f>
        <v>0</v>
      </c>
      <c r="I123" s="37"/>
      <c r="J123" s="10"/>
      <c r="K123" s="10"/>
    </row>
    <row r="124" spans="1:11" ht="15.9" x14ac:dyDescent="0.45">
      <c r="A124" s="22" t="s">
        <v>159</v>
      </c>
      <c r="B124" s="103" t="s">
        <v>160</v>
      </c>
      <c r="C124" s="122"/>
      <c r="D124" s="180">
        <v>0</v>
      </c>
      <c r="E124" s="102">
        <v>0</v>
      </c>
      <c r="F124" s="34"/>
      <c r="G124" s="2">
        <f t="shared" si="3"/>
        <v>0</v>
      </c>
      <c r="H124" s="31">
        <f>G124*G77</f>
        <v>0</v>
      </c>
      <c r="I124" s="37"/>
      <c r="J124" s="37"/>
      <c r="K124" s="10"/>
    </row>
    <row r="125" spans="1:11" ht="15.9" x14ac:dyDescent="0.45">
      <c r="A125" s="22" t="s">
        <v>161</v>
      </c>
      <c r="B125" s="23"/>
      <c r="C125" s="23"/>
      <c r="D125" s="180">
        <v>0</v>
      </c>
      <c r="E125" s="102">
        <v>0</v>
      </c>
      <c r="F125" s="23"/>
      <c r="G125" s="2">
        <f t="shared" si="3"/>
        <v>0</v>
      </c>
      <c r="H125" s="31">
        <f>G125*G77</f>
        <v>0</v>
      </c>
      <c r="I125" s="37"/>
      <c r="J125" s="37"/>
      <c r="K125" s="10"/>
    </row>
    <row r="126" spans="1:11" ht="15.9" x14ac:dyDescent="0.45">
      <c r="A126" s="22" t="s">
        <v>162</v>
      </c>
      <c r="B126" s="23"/>
      <c r="C126" s="23"/>
      <c r="D126" s="180">
        <v>7.27</v>
      </c>
      <c r="E126" s="102">
        <v>0</v>
      </c>
      <c r="F126" s="26"/>
      <c r="G126" s="2">
        <f t="shared" si="3"/>
        <v>7.27</v>
      </c>
      <c r="H126" s="31">
        <f>G126*G77</f>
        <v>50875.46</v>
      </c>
      <c r="I126" s="37"/>
      <c r="J126" s="37"/>
      <c r="K126" s="10"/>
    </row>
    <row r="127" spans="1:11" ht="15.9" x14ac:dyDescent="0.45">
      <c r="A127" s="1"/>
      <c r="B127" s="23"/>
      <c r="C127" s="23"/>
      <c r="D127" s="23"/>
      <c r="E127" s="34"/>
      <c r="F127" s="120"/>
      <c r="G127" s="34"/>
      <c r="H127" s="41"/>
      <c r="I127" s="37"/>
      <c r="J127" s="37"/>
      <c r="K127" s="39" t="s">
        <v>42</v>
      </c>
    </row>
    <row r="128" spans="1:11" ht="15.9" x14ac:dyDescent="0.45">
      <c r="A128" s="1"/>
      <c r="B128" s="23"/>
      <c r="C128" s="23"/>
      <c r="D128" s="44" t="s">
        <v>137</v>
      </c>
      <c r="E128" s="95" t="s">
        <v>139</v>
      </c>
      <c r="F128" s="123"/>
      <c r="G128" s="65"/>
      <c r="H128" s="97" t="s">
        <v>139</v>
      </c>
      <c r="I128" s="37"/>
      <c r="J128" s="37"/>
      <c r="K128" s="39" t="s">
        <v>43</v>
      </c>
    </row>
    <row r="129" spans="1:11" ht="15.9" x14ac:dyDescent="0.45">
      <c r="A129" s="1"/>
      <c r="B129" s="23"/>
      <c r="C129" s="23"/>
      <c r="D129" s="95" t="str">
        <f>"/"&amp;IF(D41="Y","porc de marché",(IF(D41="N","Kg Porc",#VALUE!)))</f>
        <v>/porc de marché</v>
      </c>
      <c r="E129" s="95" t="str">
        <f>""&amp;FIXED(G71,0,TRUE)&amp;IF(D41="Y"," porcs",(IF(D41="N"," Kg",#VALUE!)))</f>
        <v>6998 porcs</v>
      </c>
      <c r="F129" s="123"/>
      <c r="G129" s="44" t="str">
        <f>G75</f>
        <v>/porc de marché</v>
      </c>
      <c r="H129" s="97" t="str">
        <f>" "&amp;FIXED(G77,0,TRUE)&amp;IF(D41="Y"," porcs",(IF(D41="N","Kg",#VALUE!)))</f>
        <v xml:space="preserve"> 6998 porcs</v>
      </c>
      <c r="I129" s="37"/>
      <c r="J129" s="37"/>
      <c r="K129" s="39" t="s">
        <v>44</v>
      </c>
    </row>
    <row r="130" spans="1:11" ht="15.9" x14ac:dyDescent="0.45">
      <c r="A130" s="22" t="s">
        <v>163</v>
      </c>
      <c r="B130" s="23"/>
      <c r="C130" s="23"/>
      <c r="D130" s="101">
        <v>0</v>
      </c>
      <c r="E130" s="101">
        <v>0</v>
      </c>
      <c r="F130" s="120"/>
      <c r="G130" s="2">
        <f>IF(D130=0,E130/$G$71,D130)</f>
        <v>0</v>
      </c>
      <c r="H130" s="31">
        <f>G130*$G$77</f>
        <v>0</v>
      </c>
      <c r="I130" s="10"/>
      <c r="J130" s="10"/>
      <c r="K130" s="39" t="s">
        <v>45</v>
      </c>
    </row>
    <row r="131" spans="1:11" ht="15.9" x14ac:dyDescent="0.45">
      <c r="A131" s="22" t="s">
        <v>164</v>
      </c>
      <c r="B131" s="23"/>
      <c r="C131" s="23"/>
      <c r="D131" s="101">
        <v>0</v>
      </c>
      <c r="E131" s="101">
        <v>0</v>
      </c>
      <c r="F131" s="120"/>
      <c r="G131" s="2">
        <f>IF(D131=0,E131/$G$71,D131)</f>
        <v>0</v>
      </c>
      <c r="H131" s="31">
        <f>G131*$G$77</f>
        <v>0</v>
      </c>
      <c r="I131" s="10"/>
      <c r="J131" s="10"/>
      <c r="K131" s="39" t="s">
        <v>46</v>
      </c>
    </row>
    <row r="132" spans="1:11" ht="15.9" x14ac:dyDescent="0.45">
      <c r="A132" s="22" t="s">
        <v>165</v>
      </c>
      <c r="B132" s="23"/>
      <c r="C132" s="23"/>
      <c r="D132" s="101">
        <v>5.95</v>
      </c>
      <c r="E132" s="101">
        <v>2.27</v>
      </c>
      <c r="F132" s="23"/>
      <c r="G132" s="2">
        <f>IF(D132=0,E132/$G$71,D132)</f>
        <v>5.95</v>
      </c>
      <c r="H132" s="31">
        <f>G132*$G$77</f>
        <v>41638.1</v>
      </c>
      <c r="I132" s="10"/>
      <c r="J132" s="10"/>
      <c r="K132" s="10"/>
    </row>
    <row r="133" spans="1:11" ht="15.9" x14ac:dyDescent="0.45">
      <c r="A133" s="22" t="s">
        <v>166</v>
      </c>
      <c r="B133" s="23"/>
      <c r="C133" s="23"/>
      <c r="D133" s="101">
        <v>0</v>
      </c>
      <c r="E133" s="101">
        <v>0</v>
      </c>
      <c r="F133" s="23"/>
      <c r="G133" s="2">
        <f>IF(D133=0,E133/$G$71,D133)</f>
        <v>0</v>
      </c>
      <c r="H133" s="31">
        <f>G133*$G$77</f>
        <v>0</v>
      </c>
      <c r="I133" s="10"/>
      <c r="J133" s="10"/>
      <c r="K133" s="10"/>
    </row>
    <row r="134" spans="1:11" ht="15.9" x14ac:dyDescent="0.45">
      <c r="A134" s="22" t="s">
        <v>167</v>
      </c>
      <c r="B134" s="26"/>
      <c r="C134" s="23"/>
      <c r="D134" s="101">
        <v>1.43</v>
      </c>
      <c r="E134" s="101">
        <v>1</v>
      </c>
      <c r="F134" s="23"/>
      <c r="G134" s="2">
        <f>IF(D134=0,E134/$G$71,D134)</f>
        <v>1.43</v>
      </c>
      <c r="H134" s="31">
        <f>G134*$G$77</f>
        <v>10007.14</v>
      </c>
      <c r="I134" s="10"/>
      <c r="J134" s="35">
        <f>ROUND(+C137*D137*0.0001*SUM(H104,H111:H113,H117:H126,H130:H134,-H122,-H121),0)</f>
        <v>54942</v>
      </c>
      <c r="K134" s="39" t="s">
        <v>47</v>
      </c>
    </row>
    <row r="135" spans="1:11" ht="15.9" x14ac:dyDescent="0.45">
      <c r="A135" s="22"/>
      <c r="B135" s="23"/>
      <c r="C135" s="23"/>
      <c r="D135" s="23"/>
      <c r="E135" s="27"/>
      <c r="F135" s="23"/>
      <c r="G135" s="2"/>
      <c r="H135" s="25"/>
      <c r="I135" s="10"/>
      <c r="J135" s="10"/>
      <c r="K135" s="10"/>
    </row>
    <row r="136" spans="1:11" ht="15.9" x14ac:dyDescent="0.45">
      <c r="A136" s="22" t="s">
        <v>210</v>
      </c>
      <c r="B136" s="23"/>
      <c r="C136" s="74" t="s">
        <v>194</v>
      </c>
      <c r="D136" s="74" t="s">
        <v>195</v>
      </c>
      <c r="E136" s="27"/>
      <c r="F136" s="23"/>
      <c r="G136" s="2"/>
      <c r="H136" s="25"/>
      <c r="I136" s="37"/>
      <c r="J136" s="10"/>
      <c r="K136" s="10"/>
    </row>
    <row r="137" spans="1:11" ht="15.9" x14ac:dyDescent="0.45">
      <c r="A137" s="22" t="s">
        <v>168</v>
      </c>
      <c r="B137" s="23"/>
      <c r="C137" s="78">
        <v>7.97</v>
      </c>
      <c r="D137" s="78">
        <v>46</v>
      </c>
      <c r="E137" s="40">
        <f ca="1">IF(K134=0,0,HLOOKUP(A2,INDIRECT(K22),7, FALSE)*INDIRECT(K134)*0.01)</f>
        <v>0</v>
      </c>
      <c r="F137" s="23"/>
      <c r="G137" s="2">
        <f ca="1">H137/G77</f>
        <v>7.851100314375536</v>
      </c>
      <c r="H137" s="31">
        <f ca="1">IF(E137=0,J134,IF(INDIRECT(K134)&gt;0,E137,J134))</f>
        <v>54942</v>
      </c>
      <c r="I137" s="37"/>
      <c r="J137" s="10"/>
      <c r="K137" s="10"/>
    </row>
    <row r="138" spans="1:11" ht="15.9" x14ac:dyDescent="0.45">
      <c r="A138" s="117"/>
      <c r="B138" s="23"/>
      <c r="C138" s="23"/>
      <c r="D138" s="23"/>
      <c r="E138" s="27"/>
      <c r="F138" s="23"/>
      <c r="G138" s="80" t="s">
        <v>9</v>
      </c>
      <c r="H138" s="99" t="s">
        <v>14</v>
      </c>
      <c r="I138" s="10"/>
      <c r="J138" s="10"/>
      <c r="K138" s="10"/>
    </row>
    <row r="139" spans="1:11" ht="15.9" x14ac:dyDescent="0.45">
      <c r="A139" s="22" t="s">
        <v>211</v>
      </c>
      <c r="B139" s="26"/>
      <c r="C139" s="23"/>
      <c r="D139" s="23"/>
      <c r="E139" s="27"/>
      <c r="F139" s="23"/>
      <c r="G139" s="2">
        <f ca="1">H139/G77</f>
        <v>233.37823663903976</v>
      </c>
      <c r="H139" s="31">
        <f ca="1">SUM(H104:H137)</f>
        <v>1633180.9000000001</v>
      </c>
      <c r="I139" s="37"/>
      <c r="J139" s="10"/>
      <c r="K139" s="10"/>
    </row>
    <row r="140" spans="1:11" ht="15.9" x14ac:dyDescent="0.45">
      <c r="A140" s="117"/>
      <c r="B140" s="26"/>
      <c r="C140" s="23"/>
      <c r="D140" s="26"/>
      <c r="E140" s="27"/>
      <c r="F140" s="23"/>
      <c r="G140" s="124"/>
      <c r="H140" s="41"/>
      <c r="I140" s="37"/>
      <c r="J140" s="10"/>
      <c r="K140" s="39" t="s">
        <v>48</v>
      </c>
    </row>
    <row r="141" spans="1:11" ht="15.9" x14ac:dyDescent="0.45">
      <c r="A141" s="117"/>
      <c r="B141" s="23"/>
      <c r="C141" s="26"/>
      <c r="D141" s="44" t="s">
        <v>137</v>
      </c>
      <c r="E141" s="95" t="s">
        <v>139</v>
      </c>
      <c r="F141" s="118"/>
      <c r="G141" s="118"/>
      <c r="H141" s="97" t="s">
        <v>139</v>
      </c>
      <c r="I141" s="37"/>
      <c r="J141" s="10"/>
      <c r="K141" s="39" t="s">
        <v>49</v>
      </c>
    </row>
    <row r="142" spans="1:11" ht="15.9" x14ac:dyDescent="0.45">
      <c r="A142" s="22" t="s">
        <v>169</v>
      </c>
      <c r="B142" s="26"/>
      <c r="C142" s="23"/>
      <c r="D142" s="95" t="str">
        <f>"/"&amp;IF(D41="Y","porc de marché",(IF(D41="N","Kg Porc",#VALUE!)))</f>
        <v>/porc de marché</v>
      </c>
      <c r="E142" s="95" t="str">
        <f>""&amp;FIXED(G71,0,TRUE)&amp;IF(D41="Y"," porcs",(IF(D41="N"," Kg",#VALUE!)))</f>
        <v>6998 porcs</v>
      </c>
      <c r="F142" s="118"/>
      <c r="G142" s="44" t="str">
        <f>G75</f>
        <v>/porc de marché</v>
      </c>
      <c r="H142" s="97" t="str">
        <f>" "&amp;FIXED(G77,0,TRUE)&amp;IF(D41="Y"," porcs",(IF(D41="N","Kg",#VALUE!)))</f>
        <v xml:space="preserve"> 6998 porcs</v>
      </c>
      <c r="I142" s="37"/>
      <c r="J142" s="10"/>
      <c r="K142" s="39" t="s">
        <v>50</v>
      </c>
    </row>
    <row r="143" spans="1:11" ht="15.9" x14ac:dyDescent="0.45">
      <c r="A143" s="22" t="s">
        <v>170</v>
      </c>
      <c r="B143" s="23"/>
      <c r="C143" s="23"/>
      <c r="D143" s="101">
        <v>19.829999999999998</v>
      </c>
      <c r="E143" s="101">
        <v>0</v>
      </c>
      <c r="F143" s="23"/>
      <c r="G143" s="2">
        <f>IF(D143=0,E143/$G$71,D143)</f>
        <v>19.829999999999998</v>
      </c>
      <c r="H143" s="31">
        <f>G143*$G$77</f>
        <v>138770.34</v>
      </c>
      <c r="I143" s="37"/>
      <c r="J143" s="10"/>
      <c r="K143" s="39" t="s">
        <v>51</v>
      </c>
    </row>
    <row r="144" spans="1:11" ht="15.9" x14ac:dyDescent="0.45">
      <c r="A144" s="22" t="s">
        <v>212</v>
      </c>
      <c r="B144" s="26"/>
      <c r="C144" s="23"/>
      <c r="D144" s="101">
        <v>5.55</v>
      </c>
      <c r="E144" s="101">
        <v>0</v>
      </c>
      <c r="F144" s="23"/>
      <c r="G144" s="2">
        <f>IF(D144=0,E144/$G$71,D144)</f>
        <v>5.55</v>
      </c>
      <c r="H144" s="31">
        <f>G144*$G$77</f>
        <v>38838.9</v>
      </c>
      <c r="I144" s="10"/>
      <c r="J144" s="10"/>
      <c r="K144" s="10"/>
    </row>
    <row r="145" spans="1:11" ht="15.9" x14ac:dyDescent="0.45">
      <c r="A145" s="22" t="s">
        <v>171</v>
      </c>
      <c r="B145" s="26"/>
      <c r="C145" s="26"/>
      <c r="D145" s="101">
        <v>0</v>
      </c>
      <c r="E145" s="101">
        <v>0</v>
      </c>
      <c r="F145" s="23"/>
      <c r="G145" s="2">
        <f>IF(D145=0,E145/$G$71,D145)</f>
        <v>0</v>
      </c>
      <c r="H145" s="31">
        <f>G145*$G$77</f>
        <v>0</v>
      </c>
      <c r="I145" s="37"/>
      <c r="J145" s="37"/>
      <c r="K145" s="10"/>
    </row>
    <row r="146" spans="1:11" ht="15.9" x14ac:dyDescent="0.45">
      <c r="A146" s="22" t="s">
        <v>172</v>
      </c>
      <c r="B146" s="23"/>
      <c r="C146" s="23"/>
      <c r="D146" s="101">
        <v>5.95</v>
      </c>
      <c r="E146" s="101">
        <v>0</v>
      </c>
      <c r="F146" s="23"/>
      <c r="G146" s="2">
        <f>IF(D146=0,E146/$G$71,D146)</f>
        <v>5.95</v>
      </c>
      <c r="H146" s="31">
        <f>G146*$G$77</f>
        <v>41638.1</v>
      </c>
      <c r="I146" s="37"/>
      <c r="J146" s="37"/>
      <c r="K146" s="10"/>
    </row>
    <row r="147" spans="1:11" ht="15.9" x14ac:dyDescent="0.45">
      <c r="A147" s="117"/>
      <c r="B147" s="2"/>
      <c r="C147" s="34"/>
      <c r="D147" s="23"/>
      <c r="E147" s="26"/>
      <c r="F147" s="23"/>
      <c r="G147" s="80" t="s">
        <v>9</v>
      </c>
      <c r="H147" s="99" t="s">
        <v>14</v>
      </c>
      <c r="I147" s="37"/>
      <c r="J147" s="37"/>
      <c r="K147" s="10"/>
    </row>
    <row r="148" spans="1:11" ht="15.9" x14ac:dyDescent="0.45">
      <c r="A148" s="125" t="s">
        <v>196</v>
      </c>
      <c r="B148" s="83"/>
      <c r="C148" s="82"/>
      <c r="D148" s="13"/>
      <c r="E148" s="67"/>
      <c r="F148" s="13"/>
      <c r="G148" s="83">
        <f>H148/G77</f>
        <v>31.33</v>
      </c>
      <c r="H148" s="84">
        <f>SUM(H143:H146)</f>
        <v>219247.34</v>
      </c>
      <c r="I148" s="37"/>
      <c r="J148" s="37"/>
      <c r="K148" s="10"/>
    </row>
    <row r="149" spans="1:11" ht="15.9" x14ac:dyDescent="0.45">
      <c r="A149" s="126"/>
      <c r="B149" s="127"/>
      <c r="C149" s="127"/>
      <c r="D149" s="127"/>
      <c r="E149" s="127"/>
      <c r="F149" s="127"/>
      <c r="G149" s="127"/>
      <c r="H149" s="128"/>
      <c r="I149" s="10"/>
      <c r="J149" s="10"/>
      <c r="K149" s="10"/>
    </row>
    <row r="150" spans="1:11" ht="15.9" x14ac:dyDescent="0.45">
      <c r="A150" s="6" t="s">
        <v>173</v>
      </c>
      <c r="B150" s="129"/>
      <c r="C150" s="130"/>
      <c r="D150" s="7"/>
      <c r="E150" s="72" t="str">
        <f>G75</f>
        <v>/porc de marché</v>
      </c>
      <c r="F150" s="73" t="s">
        <v>138</v>
      </c>
      <c r="G150" s="7"/>
      <c r="H150" s="131"/>
      <c r="I150" s="10"/>
      <c r="J150" s="10"/>
      <c r="K150" s="10"/>
    </row>
    <row r="151" spans="1:11" ht="15.9" x14ac:dyDescent="0.45">
      <c r="A151" s="22" t="s">
        <v>174</v>
      </c>
      <c r="B151" s="2"/>
      <c r="C151" s="34"/>
      <c r="D151" s="23"/>
      <c r="E151" s="2">
        <f>F151/G77</f>
        <v>240.90273248173767</v>
      </c>
      <c r="F151" s="34">
        <f>H69</f>
        <v>1685837.3219072002</v>
      </c>
      <c r="G151" s="23"/>
      <c r="H151" s="41"/>
      <c r="I151" s="10"/>
      <c r="J151" s="10"/>
      <c r="K151" s="10"/>
    </row>
    <row r="152" spans="1:11" ht="15.9" x14ac:dyDescent="0.45">
      <c r="A152" s="22" t="s">
        <v>175</v>
      </c>
      <c r="B152" s="23"/>
      <c r="C152" s="23"/>
      <c r="D152" s="23"/>
      <c r="E152" s="2">
        <f ca="1">F152/G77</f>
        <v>233.37823663903976</v>
      </c>
      <c r="F152" s="34">
        <f ca="1">H139</f>
        <v>1633180.9000000001</v>
      </c>
      <c r="G152" s="23"/>
      <c r="H152" s="25"/>
      <c r="I152" s="10"/>
      <c r="J152" s="10"/>
      <c r="K152" s="10"/>
    </row>
    <row r="153" spans="1:11" ht="15.9" x14ac:dyDescent="0.45">
      <c r="A153" s="1"/>
      <c r="B153" s="23"/>
      <c r="C153" s="23"/>
      <c r="D153" s="23"/>
      <c r="E153" s="80" t="s">
        <v>9</v>
      </c>
      <c r="F153" s="29" t="s">
        <v>14</v>
      </c>
      <c r="G153" s="23"/>
      <c r="H153" s="25"/>
      <c r="I153" s="10"/>
      <c r="J153" s="10"/>
      <c r="K153" s="10"/>
    </row>
    <row r="154" spans="1:11" ht="15.9" x14ac:dyDescent="0.45">
      <c r="A154" s="22" t="s">
        <v>176</v>
      </c>
      <c r="B154" s="23"/>
      <c r="C154" s="23"/>
      <c r="D154" s="23"/>
      <c r="E154" s="2">
        <f ca="1">F154/G77</f>
        <v>7.5244958426979158</v>
      </c>
      <c r="F154" s="34">
        <f ca="1">F151-F152</f>
        <v>52656.421907200012</v>
      </c>
      <c r="G154" s="23"/>
      <c r="H154" s="25"/>
      <c r="I154" s="10"/>
      <c r="J154" s="10"/>
      <c r="K154" s="10"/>
    </row>
    <row r="155" spans="1:11" ht="15.9" x14ac:dyDescent="0.45">
      <c r="A155" s="22" t="s">
        <v>177</v>
      </c>
      <c r="B155" s="23"/>
      <c r="C155" s="26"/>
      <c r="D155" s="23"/>
      <c r="E155" s="2">
        <f>F155/G77</f>
        <v>31.33</v>
      </c>
      <c r="F155" s="34">
        <f>H148</f>
        <v>219247.34</v>
      </c>
      <c r="G155" s="23"/>
      <c r="H155" s="25"/>
      <c r="I155" s="10"/>
      <c r="J155" s="10"/>
      <c r="K155" s="10"/>
    </row>
    <row r="156" spans="1:11" ht="15.9" x14ac:dyDescent="0.45">
      <c r="A156" s="1"/>
      <c r="B156" s="23"/>
      <c r="C156" s="23"/>
      <c r="D156" s="132"/>
      <c r="E156" s="80" t="s">
        <v>9</v>
      </c>
      <c r="F156" s="29" t="s">
        <v>14</v>
      </c>
      <c r="G156" s="23"/>
      <c r="H156" s="36"/>
      <c r="I156" s="10"/>
      <c r="J156" s="10"/>
      <c r="K156" s="10"/>
    </row>
    <row r="157" spans="1:11" ht="15.9" x14ac:dyDescent="0.45">
      <c r="A157" s="22" t="s">
        <v>178</v>
      </c>
      <c r="B157" s="23"/>
      <c r="C157" s="23"/>
      <c r="D157" s="26"/>
      <c r="E157" s="2">
        <f ca="1">F157/G77</f>
        <v>-23.805504157302085</v>
      </c>
      <c r="F157" s="34">
        <f ca="1">F154-F155</f>
        <v>-166590.91809279998</v>
      </c>
      <c r="G157" s="23"/>
      <c r="H157" s="30"/>
      <c r="I157" s="10"/>
      <c r="J157" s="10"/>
      <c r="K157" s="10"/>
    </row>
    <row r="158" spans="1:11" ht="15.9" x14ac:dyDescent="0.45">
      <c r="A158" s="22"/>
      <c r="B158" s="23"/>
      <c r="C158" s="23"/>
      <c r="D158" s="26"/>
      <c r="E158" s="23"/>
      <c r="F158" s="26"/>
      <c r="G158" s="23"/>
      <c r="H158" s="25"/>
      <c r="I158" s="10"/>
      <c r="J158" s="10"/>
      <c r="K158" s="10"/>
    </row>
    <row r="159" spans="1:11" ht="15.9" x14ac:dyDescent="0.45">
      <c r="A159" s="22" t="s">
        <v>179</v>
      </c>
      <c r="B159" s="23"/>
      <c r="C159" s="23"/>
      <c r="D159" s="23"/>
      <c r="E159" s="29" t="s">
        <v>180</v>
      </c>
      <c r="F159" s="26"/>
      <c r="G159" s="27" t="s">
        <v>25</v>
      </c>
      <c r="H159" s="36"/>
      <c r="I159" s="10"/>
      <c r="J159" s="10"/>
      <c r="K159" s="10"/>
    </row>
    <row r="160" spans="1:11" ht="15.9" x14ac:dyDescent="0.45">
      <c r="A160" s="1"/>
      <c r="B160" s="23"/>
      <c r="C160" s="23"/>
      <c r="D160" s="23"/>
      <c r="E160" s="23"/>
      <c r="F160" s="23"/>
      <c r="G160" s="27"/>
      <c r="H160" s="25"/>
      <c r="I160" s="10"/>
      <c r="J160" s="10"/>
      <c r="K160" s="10"/>
    </row>
    <row r="161" spans="1:11" ht="15.9" x14ac:dyDescent="0.45">
      <c r="A161" s="1"/>
      <c r="B161" s="23"/>
      <c r="C161" s="29" t="s">
        <v>181</v>
      </c>
      <c r="D161" s="23"/>
      <c r="E161" s="2">
        <f ca="1">E164*H139/(H139+H148)</f>
        <v>1.9315325258362999</v>
      </c>
      <c r="F161" s="23"/>
      <c r="G161" s="27">
        <f ca="1">G164*H139/(H139+H148)</f>
        <v>2.0087783000809587</v>
      </c>
      <c r="H161" s="25"/>
      <c r="I161" s="10"/>
      <c r="J161" s="10"/>
      <c r="K161" s="10"/>
    </row>
    <row r="162" spans="1:11" ht="15.9" x14ac:dyDescent="0.45">
      <c r="A162" s="117"/>
      <c r="B162" s="23"/>
      <c r="C162" s="29" t="s">
        <v>182</v>
      </c>
      <c r="D162" s="23"/>
      <c r="E162" s="2">
        <f ca="1">E164*H148/(H148+H139)</f>
        <v>0.25929973122578764</v>
      </c>
      <c r="F162" s="23"/>
      <c r="G162" s="27">
        <f ca="1">G164*H148/(H139+H148)</f>
        <v>0.26966963607183497</v>
      </c>
      <c r="H162" s="36"/>
      <c r="I162" s="133" t="s">
        <v>213</v>
      </c>
      <c r="J162" s="10"/>
      <c r="K162" s="10"/>
    </row>
    <row r="163" spans="1:11" ht="15.9" x14ac:dyDescent="0.45">
      <c r="A163" s="117"/>
      <c r="B163" s="23"/>
      <c r="C163" s="23"/>
      <c r="D163" s="26"/>
      <c r="E163" s="80" t="s">
        <v>9</v>
      </c>
      <c r="F163" s="23"/>
      <c r="G163" s="27" t="s">
        <v>9</v>
      </c>
      <c r="H163" s="41"/>
      <c r="I163" s="133" t="s">
        <v>214</v>
      </c>
      <c r="J163" s="10"/>
      <c r="K163" s="10"/>
    </row>
    <row r="164" spans="1:11" ht="15.9" x14ac:dyDescent="0.45">
      <c r="A164" s="134"/>
      <c r="B164" s="13"/>
      <c r="C164" s="14" t="s">
        <v>198</v>
      </c>
      <c r="D164" s="13"/>
      <c r="E164" s="83">
        <f ca="1">I165*F64</f>
        <v>2.1908322570620875</v>
      </c>
      <c r="F164" s="13"/>
      <c r="G164" s="48">
        <f ca="1">I165*F59</f>
        <v>2.2784479361527938</v>
      </c>
      <c r="H164" s="68"/>
      <c r="I164" s="133" t="s">
        <v>215</v>
      </c>
      <c r="J164" s="10"/>
      <c r="K164" s="10"/>
    </row>
    <row r="165" spans="1:11" ht="15.9" x14ac:dyDescent="0.45">
      <c r="A165" s="135"/>
      <c r="B165" s="7"/>
      <c r="C165" s="7"/>
      <c r="D165" s="7"/>
      <c r="E165" s="7"/>
      <c r="F165" s="7"/>
      <c r="G165" s="7"/>
      <c r="H165" s="9"/>
      <c r="I165" s="136">
        <f ca="1">(H139+H148-H61-H62-H65-H66)/(H64+H59)</f>
        <v>1.1006994860641517</v>
      </c>
      <c r="J165" s="10"/>
      <c r="K165" s="10"/>
    </row>
    <row r="166" spans="1:11" ht="15.9" x14ac:dyDescent="0.45">
      <c r="A166" s="117"/>
      <c r="B166" s="29" t="s">
        <v>183</v>
      </c>
      <c r="C166" s="23"/>
      <c r="D166" s="23"/>
      <c r="E166" s="23"/>
      <c r="F166" s="23"/>
      <c r="G166" s="124">
        <f ca="1">IF(E157&gt;0,1-I182,I182)</f>
        <v>0.34511596575183029</v>
      </c>
      <c r="H166" s="137" t="s">
        <v>26</v>
      </c>
      <c r="I166" s="10"/>
      <c r="J166" s="10"/>
      <c r="K166" s="10"/>
    </row>
    <row r="167" spans="1:11" ht="15.9" x14ac:dyDescent="0.45">
      <c r="A167" s="117"/>
      <c r="B167" s="29" t="s">
        <v>184</v>
      </c>
      <c r="C167" s="23"/>
      <c r="D167" s="5">
        <v>0</v>
      </c>
      <c r="E167" s="26" t="str">
        <f>IF(D41="Y","/profit par porc  ==&gt;",IF(D41="N","/kg profit   ==&gt;",#VALUE!))</f>
        <v>/profit par porc  ==&gt;</v>
      </c>
      <c r="F167" s="23"/>
      <c r="G167" s="124">
        <f ca="1">IF(D167-E157&gt;0,J179,1-J179)</f>
        <v>0.34511596575183029</v>
      </c>
      <c r="H167" s="137" t="s">
        <v>85</v>
      </c>
      <c r="I167" s="10"/>
      <c r="J167" s="10"/>
      <c r="K167" s="10"/>
    </row>
    <row r="168" spans="1:11" ht="15.9" x14ac:dyDescent="0.45">
      <c r="A168" s="117"/>
      <c r="B168" s="29"/>
      <c r="C168" s="23"/>
      <c r="D168" s="138"/>
      <c r="E168" s="26"/>
      <c r="F168" s="23"/>
      <c r="G168" s="124"/>
      <c r="H168" s="137"/>
      <c r="I168" s="10"/>
      <c r="J168" s="10"/>
      <c r="K168" s="10"/>
    </row>
    <row r="169" spans="1:11" ht="15.9" x14ac:dyDescent="0.45">
      <c r="A169" s="117"/>
      <c r="B169" s="139" t="s">
        <v>185</v>
      </c>
      <c r="C169" s="23"/>
      <c r="D169" s="140" t="s">
        <v>186</v>
      </c>
      <c r="E169" s="23"/>
      <c r="F169" s="23"/>
      <c r="G169" s="2">
        <f>I176/F151</f>
        <v>0.24794950151502479</v>
      </c>
      <c r="H169" s="141" t="str">
        <f>IF(G169&lt;=0.2499,"faible risque",IF(AND(G169&gt;0.2499,G169&lt;0.4),"risque modéré","risque élevé"))</f>
        <v>faible risque</v>
      </c>
      <c r="I169" s="37">
        <f>(D23*D24/100)^2*(H20*(E45-G45)/2)^2+(F45*(E52-G52)/200)^2+((E45-G45)/2*((E52-G52)/200))^2</f>
        <v>117447440831.74797</v>
      </c>
      <c r="J169" s="10"/>
      <c r="K169" s="10"/>
    </row>
    <row r="170" spans="1:11" ht="15.9" x14ac:dyDescent="0.45">
      <c r="A170" s="117"/>
      <c r="B170" s="23"/>
      <c r="C170" s="23"/>
      <c r="D170" s="23"/>
      <c r="E170" s="23"/>
      <c r="F170" s="23"/>
      <c r="G170" s="23"/>
      <c r="H170" s="137" t="s">
        <v>86</v>
      </c>
      <c r="I170" s="37">
        <f>D28^2*((E59*(E46-G46)/2)^2+(F46*(E51-G51)/2)^2+((E51-G51)/2*(E46-G46)/2)^2)</f>
        <v>0</v>
      </c>
      <c r="J170" s="10"/>
      <c r="K170" s="10"/>
    </row>
    <row r="171" spans="1:11" ht="15.9" x14ac:dyDescent="0.45">
      <c r="A171" s="117"/>
      <c r="B171" s="23"/>
      <c r="C171" s="44" t="s">
        <v>197</v>
      </c>
      <c r="D171" s="23"/>
      <c r="E171" s="29" t="s">
        <v>187</v>
      </c>
      <c r="F171" s="23"/>
      <c r="G171" s="23"/>
      <c r="H171" s="137" t="s">
        <v>27</v>
      </c>
      <c r="I171" s="37">
        <f>(E62*(E48-G48)/2)^2</f>
        <v>0</v>
      </c>
      <c r="J171" s="10"/>
      <c r="K171" s="10"/>
    </row>
    <row r="172" spans="1:11" ht="15.9" x14ac:dyDescent="0.45">
      <c r="A172" s="117"/>
      <c r="B172" s="23"/>
      <c r="C172" s="44" t="str">
        <f>G75</f>
        <v>/porc de marché</v>
      </c>
      <c r="D172" s="23"/>
      <c r="E172" s="26" t="str">
        <f>IF(D41="Y","ce profit par porc de marché",IF(D41="N","ce profit par  kg de porc",#VALUE!))</f>
        <v>ce profit par porc de marché</v>
      </c>
      <c r="F172" s="23"/>
      <c r="G172" s="23"/>
      <c r="H172" s="137" t="s">
        <v>28</v>
      </c>
      <c r="I172" s="37">
        <f>(E61*(E47-G47)/2)^2</f>
        <v>0</v>
      </c>
      <c r="J172" s="10"/>
      <c r="K172" s="10"/>
    </row>
    <row r="173" spans="1:11" ht="15.9" x14ac:dyDescent="0.45">
      <c r="A173" s="117"/>
      <c r="B173" s="23"/>
      <c r="C173" s="23"/>
      <c r="D173" s="23"/>
      <c r="E173" s="23"/>
      <c r="F173" s="23"/>
      <c r="G173" s="23"/>
      <c r="H173" s="137" t="s">
        <v>29</v>
      </c>
      <c r="I173" s="37">
        <f>(E66*(E50-G50)/2)^2</f>
        <v>0</v>
      </c>
      <c r="J173" s="10"/>
      <c r="K173" s="10"/>
    </row>
    <row r="174" spans="1:11" ht="15.9" x14ac:dyDescent="0.45">
      <c r="A174" s="117"/>
      <c r="B174" s="23"/>
      <c r="C174" s="121">
        <f ca="1">E157+0.97*I177</f>
        <v>34.134256902178507</v>
      </c>
      <c r="D174" s="118"/>
      <c r="E174" s="44" t="s">
        <v>30</v>
      </c>
      <c r="F174" s="23"/>
      <c r="G174" s="23"/>
      <c r="H174" s="137" t="s">
        <v>31</v>
      </c>
      <c r="I174" s="37">
        <f>(E65*(E49-G49)/2)^2</f>
        <v>99500625</v>
      </c>
      <c r="J174" s="10"/>
      <c r="K174" s="10"/>
    </row>
    <row r="175" spans="1:11" ht="15.9" x14ac:dyDescent="0.45">
      <c r="A175" s="117"/>
      <c r="B175" s="23"/>
      <c r="C175" s="121">
        <f ca="1">E157+0.43*I177</f>
        <v>1.8791321886532302</v>
      </c>
      <c r="D175" s="118"/>
      <c r="E175" s="44" t="s">
        <v>32</v>
      </c>
      <c r="F175" s="23"/>
      <c r="G175" s="23"/>
      <c r="H175" s="25"/>
      <c r="I175" s="37">
        <f>(F54/100*SUM(H78:H91))^2</f>
        <v>57179168281.155617</v>
      </c>
      <c r="J175" s="10"/>
      <c r="K175" s="10"/>
    </row>
    <row r="176" spans="1:11" ht="15.9" x14ac:dyDescent="0.45">
      <c r="A176" s="117"/>
      <c r="B176" s="23"/>
      <c r="C176" s="121">
        <f ca="1">E157</f>
        <v>-23.805504157302085</v>
      </c>
      <c r="D176" s="118"/>
      <c r="E176" s="44" t="s">
        <v>33</v>
      </c>
      <c r="F176" s="23"/>
      <c r="G176" s="23"/>
      <c r="H176" s="137" t="s">
        <v>34</v>
      </c>
      <c r="I176" s="37">
        <f>SQRT(SUM(I169:I175)+2*(I173*I174)^0.5+2*(I171*I172)^0.5)</f>
        <v>418002.52360231464</v>
      </c>
      <c r="J176" s="37">
        <f ca="1">ABS((E157-D167)/I177)</f>
        <v>0.39854046013199118</v>
      </c>
      <c r="K176" s="10"/>
    </row>
    <row r="177" spans="1:11" ht="15.9" x14ac:dyDescent="0.45">
      <c r="A177" s="117"/>
      <c r="B177" s="23"/>
      <c r="C177" s="121">
        <f ca="1">E157-0.43*I177</f>
        <v>-49.4901405032574</v>
      </c>
      <c r="D177" s="118"/>
      <c r="E177" s="44" t="s">
        <v>35</v>
      </c>
      <c r="F177" s="23"/>
      <c r="G177" s="23"/>
      <c r="H177" s="137" t="s">
        <v>36</v>
      </c>
      <c r="I177" s="37">
        <f>I176/G77</f>
        <v>59.731712432454223</v>
      </c>
      <c r="J177" s="37">
        <f ca="1">1/(1+(0.2316419*J176))</f>
        <v>0.91548375762765544</v>
      </c>
      <c r="K177" s="10"/>
    </row>
    <row r="178" spans="1:11" ht="15.9" x14ac:dyDescent="0.45">
      <c r="A178" s="117"/>
      <c r="B178" s="23"/>
      <c r="C178" s="121">
        <f ca="1">E157-0.97*I177</f>
        <v>-81.745265216782684</v>
      </c>
      <c r="D178" s="118"/>
      <c r="E178" s="44" t="s">
        <v>37</v>
      </c>
      <c r="F178" s="23"/>
      <c r="G178" s="23"/>
      <c r="H178" s="137" t="s">
        <v>38</v>
      </c>
      <c r="I178" s="10"/>
      <c r="J178" s="37">
        <f ca="1">0.398942281*EXP(J176^2/-2)</f>
        <v>0.36848481312617271</v>
      </c>
      <c r="K178" s="10"/>
    </row>
    <row r="179" spans="1:11" ht="15.9" x14ac:dyDescent="0.45">
      <c r="A179" s="117"/>
      <c r="B179" s="23"/>
      <c r="C179" s="23"/>
      <c r="D179" s="23"/>
      <c r="E179" s="23"/>
      <c r="F179" s="23"/>
      <c r="G179" s="23"/>
      <c r="H179" s="137" t="s">
        <v>39</v>
      </c>
      <c r="I179" s="37">
        <f ca="1">ABS(E157/I177)</f>
        <v>0.39854046013199118</v>
      </c>
      <c r="J179" s="37">
        <f ca="1">J178*(0.31938153*J177-0.356563782*J177^2+1.781477937*J177^3-1.821255978*J177^4+1.330274429*J177^5)</f>
        <v>0.34511596575183029</v>
      </c>
      <c r="K179" s="10"/>
    </row>
    <row r="180" spans="1:11" ht="15.9" x14ac:dyDescent="0.45">
      <c r="A180" s="134"/>
      <c r="B180" s="14"/>
      <c r="C180" s="13"/>
      <c r="D180" s="13"/>
      <c r="E180" s="142"/>
      <c r="F180" s="13"/>
      <c r="G180" s="13"/>
      <c r="H180" s="68"/>
      <c r="I180" s="37">
        <f ca="1">1/(1+(0.2316419*I179))</f>
        <v>0.91548375762765544</v>
      </c>
      <c r="J180" s="10"/>
      <c r="K180" s="10"/>
    </row>
    <row r="181" spans="1:11" ht="15.9" x14ac:dyDescent="0.45">
      <c r="A181" s="143" t="s">
        <v>223</v>
      </c>
      <c r="B181" s="144"/>
      <c r="C181" s="145"/>
      <c r="D181" s="145"/>
      <c r="E181" s="146"/>
      <c r="F181" s="145"/>
      <c r="G181" s="145"/>
      <c r="H181" s="147"/>
      <c r="I181" s="37">
        <f ca="1">0.398942281*EXP(I179^2/-2)</f>
        <v>0.36848481312617271</v>
      </c>
      <c r="J181" s="10"/>
      <c r="K181" s="10"/>
    </row>
    <row r="182" spans="1:11" ht="15.9" x14ac:dyDescent="0.45">
      <c r="A182" s="148"/>
      <c r="B182" s="149"/>
      <c r="C182" s="150"/>
      <c r="D182" s="150"/>
      <c r="E182" s="151"/>
      <c r="F182" s="150"/>
      <c r="G182" s="150"/>
      <c r="H182" s="152"/>
      <c r="I182" s="37">
        <f ca="1">I181*(0.31938153*I180-0.356563782*I180^2+1.781477937*I180^3-1.821255978*I180^4+1.330274429*I180^5)</f>
        <v>0.34511596575183029</v>
      </c>
      <c r="J182" s="10"/>
      <c r="K182" s="10"/>
    </row>
    <row r="183" spans="1:11" ht="15.9" x14ac:dyDescent="0.45">
      <c r="A183" s="153"/>
      <c r="B183" s="154"/>
      <c r="C183" s="154"/>
      <c r="D183" s="154"/>
      <c r="E183" s="154"/>
      <c r="F183" s="154"/>
      <c r="G183" s="154"/>
      <c r="H183" s="155"/>
      <c r="I183" s="10"/>
      <c r="J183" s="10"/>
      <c r="K183" s="10"/>
    </row>
    <row r="184" spans="1:11" ht="15.9" x14ac:dyDescent="0.45">
      <c r="A184" s="156"/>
      <c r="B184" s="157" t="s">
        <v>188</v>
      </c>
      <c r="C184" s="157"/>
      <c r="D184" s="158"/>
      <c r="E184" s="157"/>
      <c r="F184" s="157"/>
      <c r="G184" s="157"/>
      <c r="H184" s="159"/>
      <c r="I184" s="10"/>
      <c r="J184" s="10"/>
      <c r="K184" s="10"/>
    </row>
    <row r="185" spans="1:11" ht="15.9" x14ac:dyDescent="0.45">
      <c r="A185" s="160"/>
      <c r="B185" s="157"/>
      <c r="C185" s="157"/>
      <c r="D185" s="157"/>
      <c r="E185" s="157"/>
      <c r="F185" s="157"/>
      <c r="G185" s="157"/>
      <c r="H185" s="159"/>
      <c r="I185" s="10"/>
      <c r="J185" s="10"/>
      <c r="K185" s="10"/>
    </row>
    <row r="186" spans="1:11" ht="15.9" x14ac:dyDescent="0.45">
      <c r="A186" s="161"/>
      <c r="B186" s="157"/>
      <c r="C186" s="157"/>
      <c r="D186" s="161" t="s">
        <v>189</v>
      </c>
      <c r="E186" s="162"/>
      <c r="F186" s="162"/>
      <c r="G186" s="157"/>
      <c r="H186" s="159"/>
      <c r="I186" s="10"/>
      <c r="J186" s="10"/>
      <c r="K186" s="10"/>
    </row>
    <row r="187" spans="1:11" ht="15.9" x14ac:dyDescent="0.45">
      <c r="A187" s="163"/>
      <c r="B187" s="157"/>
      <c r="C187" s="157"/>
      <c r="D187" s="161" t="s">
        <v>222</v>
      </c>
      <c r="E187" s="162"/>
      <c r="F187" s="162"/>
      <c r="G187" s="157"/>
      <c r="H187" s="159"/>
      <c r="I187" s="10"/>
      <c r="J187" s="10"/>
      <c r="K187" s="10"/>
    </row>
    <row r="188" spans="1:11" ht="15.9" x14ac:dyDescent="0.45">
      <c r="A188" s="160"/>
      <c r="B188" s="157"/>
      <c r="C188" s="157"/>
      <c r="D188" s="164" t="s">
        <v>54</v>
      </c>
      <c r="E188" s="162"/>
      <c r="F188" s="162"/>
      <c r="G188" s="157"/>
      <c r="H188" s="159"/>
      <c r="I188" s="10"/>
      <c r="J188" s="10"/>
      <c r="K188" s="10"/>
    </row>
    <row r="189" spans="1:11" ht="15.9" x14ac:dyDescent="0.45">
      <c r="A189" s="160"/>
      <c r="B189" s="157"/>
      <c r="C189" s="157"/>
      <c r="D189" s="165" t="s">
        <v>190</v>
      </c>
      <c r="E189" s="162"/>
      <c r="F189" s="162"/>
      <c r="G189" s="157"/>
      <c r="H189" s="159"/>
      <c r="I189" s="10"/>
      <c r="J189" s="10"/>
      <c r="K189" s="10"/>
    </row>
    <row r="190" spans="1:11" ht="15.9" x14ac:dyDescent="0.45">
      <c r="A190" s="166"/>
      <c r="B190" s="167"/>
      <c r="C190" s="167"/>
      <c r="D190" s="173"/>
      <c r="E190" s="168"/>
      <c r="F190" s="168"/>
      <c r="G190" s="169"/>
      <c r="H190" s="170"/>
      <c r="I190" s="10"/>
      <c r="J190" s="10"/>
      <c r="K190" s="10"/>
    </row>
    <row r="191" spans="1:11" ht="15.9" x14ac:dyDescent="0.45">
      <c r="A191" s="174" t="s">
        <v>220</v>
      </c>
      <c r="B191" s="175"/>
      <c r="C191" s="175"/>
      <c r="D191" s="176"/>
      <c r="E191" s="176"/>
      <c r="F191" s="177"/>
      <c r="G191" s="177"/>
      <c r="H191" s="175"/>
      <c r="I191" s="10"/>
      <c r="J191" s="10"/>
      <c r="K191" s="10"/>
    </row>
    <row r="192" spans="1:11" ht="15.9" x14ac:dyDescent="0.45">
      <c r="I192" s="10"/>
      <c r="J192" s="10"/>
      <c r="K192" s="10"/>
    </row>
    <row r="193" spans="9:11" ht="15.9" x14ac:dyDescent="0.45">
      <c r="I193" s="10"/>
      <c r="J193" s="10"/>
      <c r="K193" s="10"/>
    </row>
    <row r="194" spans="9:11" ht="15.9" x14ac:dyDescent="0.45">
      <c r="I194" s="10"/>
      <c r="J194" s="10"/>
      <c r="K194" s="10"/>
    </row>
    <row r="195" spans="9:11" ht="15.9" x14ac:dyDescent="0.45">
      <c r="I195" s="10"/>
      <c r="J195" s="10"/>
      <c r="K195" s="10"/>
    </row>
    <row r="196" spans="9:11" ht="15.9" x14ac:dyDescent="0.45">
      <c r="I196" s="10"/>
      <c r="J196" s="10"/>
      <c r="K196" s="10"/>
    </row>
    <row r="197" spans="9:11" ht="15.9" x14ac:dyDescent="0.45">
      <c r="I197" s="10"/>
      <c r="J197" s="10"/>
      <c r="K197" s="10"/>
    </row>
    <row r="198" spans="9:11" ht="15.9" x14ac:dyDescent="0.45">
      <c r="I198" s="10"/>
      <c r="J198" s="10"/>
      <c r="K198" s="10"/>
    </row>
    <row r="199" spans="9:11" ht="15.9" x14ac:dyDescent="0.45">
      <c r="I199" s="10"/>
      <c r="J199" s="10"/>
      <c r="K199" s="10"/>
    </row>
    <row r="200" spans="9:11" ht="15.9" x14ac:dyDescent="0.45">
      <c r="I200" s="10"/>
      <c r="J200" s="10"/>
      <c r="K200" s="10"/>
    </row>
    <row r="201" spans="9:11" ht="15.9" x14ac:dyDescent="0.45">
      <c r="I201" s="10"/>
      <c r="J201" s="10"/>
      <c r="K201" s="10"/>
    </row>
    <row r="202" spans="9:11" ht="15.9" x14ac:dyDescent="0.45">
      <c r="I202" s="10"/>
      <c r="J202" s="10"/>
      <c r="K202" s="10"/>
    </row>
    <row r="203" spans="9:11" ht="15.9" x14ac:dyDescent="0.45">
      <c r="I203" s="10"/>
      <c r="J203" s="10"/>
      <c r="K203" s="10"/>
    </row>
    <row r="204" spans="9:11" ht="15.9" x14ac:dyDescent="0.45">
      <c r="I204" s="10"/>
      <c r="J204" s="10"/>
      <c r="K204" s="10"/>
    </row>
    <row r="205" spans="9:11" ht="15.9" x14ac:dyDescent="0.45">
      <c r="I205" s="10"/>
      <c r="J205" s="10"/>
      <c r="K205" s="10"/>
    </row>
    <row r="206" spans="9:11" ht="15.9" x14ac:dyDescent="0.45">
      <c r="I206" s="10"/>
      <c r="J206" s="10"/>
      <c r="K206" s="10"/>
    </row>
    <row r="207" spans="9:11" ht="15.9" x14ac:dyDescent="0.45">
      <c r="I207" s="10"/>
      <c r="J207" s="10"/>
      <c r="K207" s="10"/>
    </row>
    <row r="208" spans="9:11" ht="15.9" x14ac:dyDescent="0.45">
      <c r="I208" s="10"/>
      <c r="J208" s="10"/>
      <c r="K208" s="10"/>
    </row>
    <row r="209" spans="9:11" ht="15.9" x14ac:dyDescent="0.45">
      <c r="I209" s="10"/>
      <c r="J209" s="10"/>
      <c r="K209" s="10"/>
    </row>
    <row r="210" spans="9:11" ht="15.9" x14ac:dyDescent="0.45">
      <c r="I210" s="10"/>
      <c r="J210" s="10"/>
      <c r="K210" s="10"/>
    </row>
    <row r="211" spans="9:11" ht="15.9" x14ac:dyDescent="0.45">
      <c r="I211" s="10"/>
      <c r="J211" s="10"/>
      <c r="K211" s="10"/>
    </row>
    <row r="212" spans="9:11" ht="15.9" x14ac:dyDescent="0.45">
      <c r="I212" s="10"/>
      <c r="J212" s="10"/>
      <c r="K212" s="10"/>
    </row>
    <row r="213" spans="9:11" ht="15.9" x14ac:dyDescent="0.45">
      <c r="I213" s="10"/>
      <c r="J213" s="10"/>
      <c r="K213" s="10"/>
    </row>
    <row r="214" spans="9:11" ht="15.9" x14ac:dyDescent="0.45">
      <c r="I214" s="10"/>
      <c r="J214" s="10"/>
      <c r="K214" s="10"/>
    </row>
    <row r="215" spans="9:11" ht="15.9" x14ac:dyDescent="0.45">
      <c r="I215" s="10"/>
      <c r="J215" s="10"/>
      <c r="K215" s="10"/>
    </row>
    <row r="216" spans="9:11" ht="15.9" x14ac:dyDescent="0.45">
      <c r="I216" s="10"/>
      <c r="J216" s="10"/>
      <c r="K216" s="10"/>
    </row>
    <row r="217" spans="9:11" ht="15.9" x14ac:dyDescent="0.45">
      <c r="I217" s="10"/>
      <c r="J217" s="10"/>
      <c r="K217" s="10"/>
    </row>
    <row r="218" spans="9:11" ht="15.9" x14ac:dyDescent="0.45">
      <c r="I218" s="10"/>
      <c r="J218" s="10"/>
      <c r="K218" s="10"/>
    </row>
    <row r="219" spans="9:11" ht="15.9" x14ac:dyDescent="0.45">
      <c r="I219" s="10"/>
      <c r="J219" s="10"/>
      <c r="K219" s="10"/>
    </row>
    <row r="220" spans="9:11" ht="15.9" x14ac:dyDescent="0.45">
      <c r="I220" s="10"/>
      <c r="J220" s="10"/>
      <c r="K220" s="10"/>
    </row>
    <row r="221" spans="9:11" ht="15.9" x14ac:dyDescent="0.45">
      <c r="I221" s="10"/>
      <c r="J221" s="10"/>
      <c r="K221" s="10"/>
    </row>
    <row r="222" spans="9:11" ht="15.9" x14ac:dyDescent="0.45">
      <c r="I222" s="10"/>
      <c r="J222" s="10"/>
      <c r="K222" s="10"/>
    </row>
    <row r="223" spans="9:11" ht="15.9" x14ac:dyDescent="0.45">
      <c r="I223" s="10"/>
      <c r="J223" s="10"/>
      <c r="K223" s="10"/>
    </row>
    <row r="224" spans="9:11" ht="15.9" x14ac:dyDescent="0.45">
      <c r="I224" s="10"/>
      <c r="J224" s="10"/>
      <c r="K224" s="10"/>
    </row>
    <row r="225" spans="9:11" ht="15.9" x14ac:dyDescent="0.45">
      <c r="I225" s="10"/>
      <c r="J225" s="10"/>
      <c r="K225" s="10"/>
    </row>
    <row r="226" spans="9:11" ht="15.9" x14ac:dyDescent="0.45">
      <c r="I226" s="10"/>
      <c r="J226" s="10"/>
      <c r="K226" s="10"/>
    </row>
    <row r="227" spans="9:11" ht="15.9" x14ac:dyDescent="0.45">
      <c r="I227" s="10"/>
      <c r="J227" s="10"/>
      <c r="K227" s="10"/>
    </row>
    <row r="228" spans="9:11" ht="15.9" x14ac:dyDescent="0.45">
      <c r="I228" s="10"/>
      <c r="J228" s="10"/>
      <c r="K228" s="10"/>
    </row>
    <row r="229" spans="9:11" ht="15.9" x14ac:dyDescent="0.45">
      <c r="I229" s="10"/>
      <c r="J229" s="10"/>
      <c r="K229" s="10"/>
    </row>
    <row r="230" spans="9:11" ht="15.9" x14ac:dyDescent="0.45">
      <c r="I230" s="10"/>
      <c r="J230" s="10"/>
      <c r="K230" s="10"/>
    </row>
    <row r="231" spans="9:11" ht="15.9" x14ac:dyDescent="0.45">
      <c r="I231" s="10"/>
      <c r="J231" s="10"/>
      <c r="K231" s="10"/>
    </row>
    <row r="232" spans="9:11" ht="15.9" x14ac:dyDescent="0.45">
      <c r="I232" s="10"/>
      <c r="J232" s="10"/>
      <c r="K232" s="10"/>
    </row>
    <row r="233" spans="9:11" ht="15.9" x14ac:dyDescent="0.45">
      <c r="I233" s="10"/>
      <c r="J233" s="10"/>
      <c r="K233" s="10"/>
    </row>
    <row r="234" spans="9:11" ht="15.9" x14ac:dyDescent="0.45">
      <c r="I234" s="10"/>
      <c r="J234" s="10"/>
      <c r="K234" s="10"/>
    </row>
    <row r="235" spans="9:11" ht="15.9" x14ac:dyDescent="0.45">
      <c r="I235" s="10"/>
      <c r="J235" s="10"/>
      <c r="K235" s="10"/>
    </row>
    <row r="236" spans="9:11" ht="15.9" x14ac:dyDescent="0.45">
      <c r="I236" s="10"/>
      <c r="J236" s="10"/>
      <c r="K236" s="10"/>
    </row>
    <row r="237" spans="9:11" ht="15.9" x14ac:dyDescent="0.45">
      <c r="I237" s="10"/>
      <c r="J237" s="10"/>
      <c r="K237" s="10"/>
    </row>
    <row r="238" spans="9:11" ht="15.9" x14ac:dyDescent="0.45">
      <c r="I238" s="10"/>
      <c r="J238" s="10"/>
      <c r="K238" s="10"/>
    </row>
    <row r="239" spans="9:11" ht="15.9" x14ac:dyDescent="0.45">
      <c r="I239" s="10"/>
      <c r="J239" s="10"/>
      <c r="K239" s="10"/>
    </row>
    <row r="240" spans="9:11" ht="15.9" x14ac:dyDescent="0.45">
      <c r="I240" s="10"/>
      <c r="J240" s="10"/>
      <c r="K240" s="10"/>
    </row>
    <row r="241" spans="9:11" ht="15.9" x14ac:dyDescent="0.45">
      <c r="I241" s="10"/>
      <c r="J241" s="10"/>
      <c r="K241" s="10"/>
    </row>
    <row r="242" spans="9:11" ht="15.9" x14ac:dyDescent="0.45">
      <c r="I242" s="10"/>
      <c r="J242" s="10"/>
      <c r="K242" s="10"/>
    </row>
    <row r="243" spans="9:11" ht="15.9" x14ac:dyDescent="0.45">
      <c r="I243" s="10"/>
      <c r="J243" s="10"/>
      <c r="K243" s="10"/>
    </row>
    <row r="244" spans="9:11" ht="15.9" x14ac:dyDescent="0.45">
      <c r="I244" s="10"/>
      <c r="J244" s="10"/>
      <c r="K244" s="10"/>
    </row>
    <row r="245" spans="9:11" ht="15.9" x14ac:dyDescent="0.45">
      <c r="I245" s="10"/>
      <c r="J245" s="10"/>
      <c r="K245" s="10"/>
    </row>
    <row r="246" spans="9:11" ht="15.9" x14ac:dyDescent="0.45">
      <c r="I246" s="10"/>
      <c r="J246" s="10"/>
      <c r="K246" s="10"/>
    </row>
    <row r="247" spans="9:11" ht="15.9" x14ac:dyDescent="0.45">
      <c r="I247" s="10"/>
      <c r="J247" s="10"/>
      <c r="K247" s="10"/>
    </row>
    <row r="248" spans="9:11" ht="15.9" x14ac:dyDescent="0.45">
      <c r="I248" s="10"/>
      <c r="J248" s="10"/>
      <c r="K248" s="10"/>
    </row>
    <row r="249" spans="9:11" ht="15.9" x14ac:dyDescent="0.45">
      <c r="I249" s="10"/>
      <c r="J249" s="10"/>
      <c r="K249" s="10"/>
    </row>
    <row r="250" spans="9:11" ht="15.9" x14ac:dyDescent="0.45">
      <c r="I250" s="10"/>
      <c r="J250" s="10"/>
      <c r="K250" s="10"/>
    </row>
    <row r="251" spans="9:11" ht="15.9" x14ac:dyDescent="0.45">
      <c r="I251" s="10"/>
      <c r="J251" s="10"/>
      <c r="K251" s="10"/>
    </row>
    <row r="252" spans="9:11" ht="15.9" x14ac:dyDescent="0.45">
      <c r="I252" s="10"/>
      <c r="J252" s="10"/>
      <c r="K252" s="10"/>
    </row>
    <row r="253" spans="9:11" ht="15.9" x14ac:dyDescent="0.45">
      <c r="I253" s="10"/>
      <c r="J253" s="10"/>
      <c r="K253" s="10"/>
    </row>
    <row r="254" spans="9:11" ht="15.9" x14ac:dyDescent="0.45">
      <c r="I254" s="10"/>
      <c r="J254" s="10"/>
      <c r="K254" s="10"/>
    </row>
    <row r="255" spans="9:11" ht="15.9" x14ac:dyDescent="0.45">
      <c r="I255" s="10"/>
      <c r="J255" s="10"/>
      <c r="K255" s="10"/>
    </row>
    <row r="256" spans="9:11" ht="15.9" x14ac:dyDescent="0.45">
      <c r="I256" s="10"/>
      <c r="J256" s="10"/>
      <c r="K256" s="10"/>
    </row>
    <row r="257" spans="9:11" ht="15.9" x14ac:dyDescent="0.45">
      <c r="I257" s="10"/>
      <c r="J257" s="10"/>
      <c r="K257" s="10"/>
    </row>
    <row r="258" spans="9:11" ht="15.9" x14ac:dyDescent="0.45">
      <c r="I258" s="10"/>
      <c r="J258" s="10"/>
      <c r="K258" s="10"/>
    </row>
    <row r="259" spans="9:11" ht="15.9" x14ac:dyDescent="0.45">
      <c r="I259" s="10"/>
      <c r="J259" s="10"/>
      <c r="K259" s="10"/>
    </row>
    <row r="260" spans="9:11" ht="15.9" x14ac:dyDescent="0.45">
      <c r="I260" s="10"/>
      <c r="J260" s="10"/>
      <c r="K260" s="10"/>
    </row>
    <row r="261" spans="9:11" ht="15.9" x14ac:dyDescent="0.45">
      <c r="I261" s="10"/>
      <c r="J261" s="10"/>
      <c r="K261" s="10"/>
    </row>
    <row r="262" spans="9:11" ht="15.9" x14ac:dyDescent="0.45">
      <c r="I262" s="10"/>
      <c r="J262" s="10"/>
      <c r="K262" s="10"/>
    </row>
    <row r="263" spans="9:11" ht="15.9" x14ac:dyDescent="0.45">
      <c r="I263" s="10"/>
      <c r="J263" s="10"/>
      <c r="K263" s="10"/>
    </row>
    <row r="264" spans="9:11" ht="15.9" x14ac:dyDescent="0.45">
      <c r="I264" s="10"/>
      <c r="J264" s="10"/>
      <c r="K264" s="10"/>
    </row>
    <row r="265" spans="9:11" ht="15.9" x14ac:dyDescent="0.45">
      <c r="I265" s="10"/>
      <c r="J265" s="10"/>
      <c r="K265" s="10"/>
    </row>
    <row r="266" spans="9:11" ht="15.9" x14ac:dyDescent="0.45">
      <c r="I266" s="10"/>
      <c r="J266" s="10"/>
      <c r="K266" s="10"/>
    </row>
    <row r="267" spans="9:11" ht="15.9" x14ac:dyDescent="0.45">
      <c r="I267" s="10"/>
      <c r="J267" s="10"/>
      <c r="K267" s="10"/>
    </row>
    <row r="268" spans="9:11" ht="15.9" x14ac:dyDescent="0.45">
      <c r="I268" s="10"/>
      <c r="J268" s="10"/>
      <c r="K268" s="10"/>
    </row>
    <row r="269" spans="9:11" ht="15.9" x14ac:dyDescent="0.45">
      <c r="I269" s="10"/>
      <c r="J269" s="10"/>
      <c r="K269" s="10"/>
    </row>
    <row r="270" spans="9:11" ht="15.9" x14ac:dyDescent="0.45">
      <c r="I270" s="10"/>
      <c r="J270" s="10"/>
      <c r="K270" s="10"/>
    </row>
    <row r="271" spans="9:11" ht="15.9" x14ac:dyDescent="0.45">
      <c r="I271" s="10"/>
      <c r="J271" s="10"/>
      <c r="K271" s="10"/>
    </row>
    <row r="272" spans="9:11" ht="15.9" x14ac:dyDescent="0.45">
      <c r="I272" s="10"/>
      <c r="J272" s="10"/>
      <c r="K272" s="10"/>
    </row>
    <row r="273" spans="9:11" ht="15.9" x14ac:dyDescent="0.45">
      <c r="I273" s="10"/>
      <c r="J273" s="10"/>
      <c r="K273" s="10"/>
    </row>
    <row r="274" spans="9:11" ht="15.9" x14ac:dyDescent="0.45">
      <c r="I274" s="10"/>
      <c r="J274" s="10"/>
      <c r="K274" s="10"/>
    </row>
    <row r="275" spans="9:11" ht="15.9" x14ac:dyDescent="0.45">
      <c r="I275" s="10"/>
      <c r="J275" s="10"/>
      <c r="K275" s="10"/>
    </row>
    <row r="276" spans="9:11" ht="15.9" x14ac:dyDescent="0.45">
      <c r="I276" s="10"/>
      <c r="J276" s="10"/>
      <c r="K276" s="10"/>
    </row>
    <row r="277" spans="9:11" ht="15.9" x14ac:dyDescent="0.45">
      <c r="I277" s="10"/>
      <c r="J277" s="10"/>
      <c r="K277" s="10"/>
    </row>
    <row r="278" spans="9:11" ht="15.9" x14ac:dyDescent="0.45">
      <c r="I278" s="10"/>
      <c r="J278" s="10"/>
      <c r="K278" s="10"/>
    </row>
    <row r="279" spans="9:11" ht="15.9" x14ac:dyDescent="0.45">
      <c r="I279" s="10"/>
      <c r="J279" s="10"/>
      <c r="K279" s="10"/>
    </row>
    <row r="280" spans="9:11" ht="15.9" x14ac:dyDescent="0.45">
      <c r="I280" s="10"/>
      <c r="J280" s="10"/>
      <c r="K280" s="10"/>
    </row>
    <row r="281" spans="9:11" ht="15.9" x14ac:dyDescent="0.45">
      <c r="I281" s="10"/>
      <c r="J281" s="10"/>
      <c r="K281" s="10"/>
    </row>
    <row r="282" spans="9:11" ht="15.9" x14ac:dyDescent="0.45">
      <c r="I282" s="10"/>
      <c r="J282" s="10"/>
      <c r="K282" s="10"/>
    </row>
    <row r="283" spans="9:11" ht="15.9" x14ac:dyDescent="0.45">
      <c r="I283" s="10"/>
      <c r="J283" s="10"/>
      <c r="K283" s="10"/>
    </row>
    <row r="284" spans="9:11" ht="15.9" x14ac:dyDescent="0.45">
      <c r="I284" s="10"/>
      <c r="J284" s="10"/>
      <c r="K284" s="10"/>
    </row>
    <row r="285" spans="9:11" ht="15.9" x14ac:dyDescent="0.45">
      <c r="I285" s="10"/>
      <c r="J285" s="10"/>
      <c r="K285" s="10"/>
    </row>
    <row r="286" spans="9:11" ht="15.9" x14ac:dyDescent="0.45">
      <c r="I286" s="10"/>
      <c r="J286" s="10"/>
      <c r="K286" s="10"/>
    </row>
    <row r="287" spans="9:11" ht="15.9" x14ac:dyDescent="0.45">
      <c r="I287" s="10"/>
      <c r="J287" s="10"/>
      <c r="K287" s="10"/>
    </row>
    <row r="288" spans="9:11" ht="15.9" x14ac:dyDescent="0.45">
      <c r="I288" s="10"/>
      <c r="J288" s="10"/>
      <c r="K288" s="10"/>
    </row>
    <row r="289" spans="9:11" ht="15.9" x14ac:dyDescent="0.45">
      <c r="I289" s="10"/>
      <c r="J289" s="10"/>
      <c r="K289" s="10"/>
    </row>
    <row r="290" spans="9:11" ht="15.9" x14ac:dyDescent="0.45">
      <c r="I290" s="10"/>
      <c r="J290" s="10"/>
      <c r="K290" s="10"/>
    </row>
    <row r="291" spans="9:11" ht="15.9" x14ac:dyDescent="0.45">
      <c r="I291" s="10"/>
      <c r="J291" s="10"/>
      <c r="K291" s="10"/>
    </row>
    <row r="292" spans="9:11" ht="15.9" x14ac:dyDescent="0.45">
      <c r="I292" s="10"/>
      <c r="J292" s="10"/>
      <c r="K292" s="10"/>
    </row>
    <row r="293" spans="9:11" ht="15.9" x14ac:dyDescent="0.45">
      <c r="I293" s="10"/>
      <c r="J293" s="10"/>
      <c r="K293" s="10"/>
    </row>
    <row r="294" spans="9:11" ht="15.9" x14ac:dyDescent="0.45">
      <c r="I294" s="10"/>
      <c r="J294" s="10"/>
      <c r="K294" s="10"/>
    </row>
    <row r="295" spans="9:11" ht="15.9" x14ac:dyDescent="0.45">
      <c r="I295" s="10"/>
      <c r="J295" s="10"/>
      <c r="K295" s="10"/>
    </row>
    <row r="296" spans="9:11" ht="15.9" x14ac:dyDescent="0.45">
      <c r="I296" s="10"/>
      <c r="J296" s="10"/>
      <c r="K296" s="10"/>
    </row>
    <row r="297" spans="9:11" ht="15.9" x14ac:dyDescent="0.45">
      <c r="I297" s="10"/>
      <c r="J297" s="10"/>
      <c r="K297" s="10"/>
    </row>
    <row r="298" spans="9:11" ht="15.9" x14ac:dyDescent="0.45">
      <c r="I298" s="10"/>
      <c r="J298" s="10"/>
      <c r="K298" s="10"/>
    </row>
    <row r="299" spans="9:11" ht="15.9" x14ac:dyDescent="0.45">
      <c r="I299" s="10"/>
      <c r="J299" s="10"/>
      <c r="K299" s="10"/>
    </row>
    <row r="300" spans="9:11" ht="15.9" x14ac:dyDescent="0.45">
      <c r="I300" s="10"/>
      <c r="J300" s="10"/>
      <c r="K300" s="10"/>
    </row>
    <row r="301" spans="9:11" ht="15.9" x14ac:dyDescent="0.45">
      <c r="I301" s="10"/>
      <c r="J301" s="10"/>
      <c r="K301" s="10"/>
    </row>
    <row r="302" spans="9:11" ht="15.9" x14ac:dyDescent="0.45">
      <c r="I302" s="10"/>
    </row>
    <row r="303" spans="9:11" ht="15.9" x14ac:dyDescent="0.45">
      <c r="I303" s="10"/>
    </row>
    <row r="304" spans="9:11" ht="15.9" x14ac:dyDescent="0.45">
      <c r="I304" s="10"/>
    </row>
  </sheetData>
  <sheetProtection algorithmName="SHA-512" hashValue="+cpyxuWF8YmICfGu20G50aIe2AD6K8CPIqXc4q9paAZbP8JeC+rAZzQ700K7jOVMSEzRQhVXgRe94EQ9FeH8Iw==" saltValue="lUSoJ/FtmJTxPCHgTAcJzw==" spinCount="100000" sheet="1" objects="1" scenarios="1"/>
  <phoneticPr fontId="1" type="noConversion"/>
  <conditionalFormatting sqref="H169">
    <cfRule type="cellIs" dxfId="2" priority="1" stopIfTrue="1" operator="equal">
      <formula>$I$162</formula>
    </cfRule>
    <cfRule type="cellIs" dxfId="1" priority="2" stopIfTrue="1" operator="equal">
      <formula>$I$163</formula>
    </cfRule>
    <cfRule type="cellIs" dxfId="0" priority="3" stopIfTrue="1" operator="equal">
      <formula>$I$164</formula>
    </cfRule>
  </conditionalFormatting>
  <hyperlinks>
    <hyperlink ref="D188" r:id="rId1" display="mailto:ag.info.omafra@ontario.ca" xr:uid="{00000000-0004-0000-0000-000000000000}"/>
  </hyperlinks>
  <pageMargins left="0.75" right="0.75" top="1" bottom="1" header="0.5" footer="0.5"/>
  <pageSetup orientation="portrait" r:id="rId2"/>
  <headerFooter alignWithMargins="0">
    <oddHeader xml:space="preserve">&amp;L                                                                        </oddHeader>
    <oddFooter>&amp;CPage -&amp;P-&amp;R</oddFooter>
  </headerFooter>
  <rowBreaks count="2" manualBreakCount="2">
    <brk id="53" max="16383" man="1"/>
    <brk id="163" max="16383"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5D1BA6B6-3434-49F0-87A8-4486DCCFFD57}"/>
</file>

<file path=customXml/itemProps2.xml><?xml version="1.0" encoding="utf-8"?>
<ds:datastoreItem xmlns:ds="http://schemas.openxmlformats.org/officeDocument/2006/customXml" ds:itemID="{EB5D53B0-514C-45CC-9FBA-573577D40ED5}"/>
</file>

<file path=customXml/itemProps3.xml><?xml version="1.0" encoding="utf-8"?>
<ds:datastoreItem xmlns:ds="http://schemas.openxmlformats.org/officeDocument/2006/customXml" ds:itemID="{8A0E8FD2-210E-4636-820A-A34D21DC4C10}"/>
</file>

<file path=customXml/itemProps4.xml><?xml version="1.0" encoding="utf-8"?>
<ds:datastoreItem xmlns:ds="http://schemas.openxmlformats.org/officeDocument/2006/customXml" ds:itemID="{AD046F1B-C024-44F4-9113-8DEC841C5922}"/>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FARFIN</vt:lpstr>
    </vt:vector>
  </TitlesOfParts>
  <Manager>John Anderson</Manager>
  <Company>Ontario Ministry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Farrow-to-finish Enterprise Budget</dc:title>
  <dc:subject>BEAR2000 Budget File</dc:subject>
  <dc:creator>john.molenhuis@ontario.ca</dc:creator>
  <cp:lastModifiedBy>Molenhuis, John (OMAFA)</cp:lastModifiedBy>
  <dcterms:created xsi:type="dcterms:W3CDTF">1998-09-13T17:28:52Z</dcterms:created>
  <dcterms:modified xsi:type="dcterms:W3CDTF">2024-08-15T18:42:35Z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2020-06-02T19:56:47.0823963Z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16faa97c-995e-48e9-896c-ad04498f72b1</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