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updateLinks="never" codeName="ThisWorkbook" defaultThemeVersion="124226"/>
  <mc:AlternateContent xmlns:mc="http://schemas.openxmlformats.org/markup-compatibility/2006">
    <mc:Choice Requires="x15">
      <x15ac:absPath xmlns:x15ac="http://schemas.microsoft.com/office/spreadsheetml/2010/11/ac" url="C:\Data\updatedbudgets\Program Files\Bear\BudgetFiles\Livestock\Cattle\2019\"/>
    </mc:Choice>
  </mc:AlternateContent>
  <xr:revisionPtr revIDLastSave="0" documentId="13_ncr:1_{D907DA08-7942-45AA-9235-1857EED72A71}" xr6:coauthVersionLast="41" xr6:coauthVersionMax="41" xr10:uidLastSave="{00000000-0000-0000-0000-000000000000}"/>
  <workbookProtection workbookAlgorithmName="SHA-512" workbookHashValue="GPQWhrUH5gzgmYpN0upC6BG8XBVc3Nuvk13ELB4F0khrR/U4K6geQ2WzvY8R164/Wyz7A3wlehUoRAoci8Hvhw==" workbookSaltValue="dBmSTekWqsYJbuY5rI4E6Q==" workbookSpinCount="100000" lockStructure="1"/>
  <bookViews>
    <workbookView xWindow="-120" yWindow="-120" windowWidth="29040" windowHeight="17640" xr2:uid="{00000000-000D-0000-FFFF-FFFF00000000}"/>
  </bookViews>
  <sheets>
    <sheet name="Veal" sheetId="1" r:id="rId1"/>
    <sheet name="CapitalInvestment" sheetId="2" r:id="rId2"/>
  </sheets>
  <externalReferences>
    <externalReference r:id="rId3"/>
  </externalReferences>
  <definedNames>
    <definedName name="__123Graph_A" hidden="1">[1]Schedule!#REF!</definedName>
    <definedName name="__123Graph_LBL_A" hidden="1">[1]Schedule!#REF!</definedName>
    <definedName name="_1__123Graph_AP_I" hidden="1">[1]Schedule!#REF!</definedName>
    <definedName name="_2__123Graph_LBL_AP_I" hidden="1">[1]Schedule!#REF!</definedName>
    <definedName name="_3__123Graph_LBL_BP_I" hidden="1">[1]Schedule!#REF!</definedName>
    <definedName name="_Fill" hidden="1">[1]Schedule!#REF!</definedName>
    <definedName name="_Key1" localSheetId="0" hidden="1">Veal!$HX$50:$HX$53</definedName>
    <definedName name="_Key1" hidden="1">#REF!</definedName>
    <definedName name="_Order1" hidden="1">255</definedName>
    <definedName name="_Parse_In" localSheetId="0" hidden="1">Veal!$H$155:$H$157</definedName>
    <definedName name="_Parse_In" hidden="1">#REF!</definedName>
    <definedName name="_Parse_Out" localSheetId="0" hidden="1">Veal!$H$159</definedName>
    <definedName name="_Parse_Out" hidden="1">#REF!</definedName>
    <definedName name="_Regression_Int" localSheetId="0" hidden="1">1</definedName>
    <definedName name="_Sort" localSheetId="0" hidden="1">Veal!$HW$50:$IC$53</definedName>
    <definedName name="_Sort" hidden="1">#REF!</definedName>
    <definedName name="_Table2_In1" localSheetId="0" hidden="1">Veal!$BB$61</definedName>
    <definedName name="_Table2_In1" hidden="1">#REF!</definedName>
    <definedName name="_Table2_In2" localSheetId="0" hidden="1">Veal!$BB$62</definedName>
    <definedName name="_Table2_In2" hidden="1">#REF!</definedName>
    <definedName name="_Table2_Out" localSheetId="0" hidden="1">Veal!$BC$14:$BK$59</definedName>
    <definedName name="_Table2_Out" hidden="1">#REF!</definedName>
    <definedName name="_xlnm.Print_Area" localSheetId="0">Veal!$A$1:$AX$197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4" i="1" l="1"/>
  <c r="D43" i="1" l="1"/>
  <c r="AA110" i="1" l="1"/>
  <c r="G123" i="1" s="1"/>
  <c r="AA108" i="1"/>
  <c r="G122" i="1" s="1"/>
  <c r="AA134" i="1" l="1"/>
  <c r="AA130" i="1"/>
  <c r="AA120" i="1"/>
  <c r="AA151" i="1"/>
  <c r="AD33" i="1" l="1"/>
  <c r="G20" i="1" l="1"/>
  <c r="E20" i="1"/>
  <c r="D20" i="1" l="1"/>
  <c r="AA93" i="1" l="1"/>
  <c r="AA92" i="1"/>
  <c r="AA91" i="1"/>
  <c r="F108" i="1" l="1"/>
  <c r="E108" i="1"/>
  <c r="D108" i="1"/>
  <c r="AA86" i="1"/>
  <c r="AA85" i="1"/>
  <c r="AA83" i="1"/>
  <c r="D99" i="1" s="1"/>
  <c r="AA115" i="1"/>
  <c r="F87" i="1" s="1"/>
  <c r="AA114" i="1"/>
  <c r="D87" i="1" s="1"/>
  <c r="AA49" i="1"/>
  <c r="AB116" i="1" l="1"/>
  <c r="AD116" i="1"/>
  <c r="AA54" i="1"/>
  <c r="AA112" i="1"/>
  <c r="AC77" i="1" l="1"/>
  <c r="AD77" i="1"/>
  <c r="AE77" i="1"/>
  <c r="AC78" i="1"/>
  <c r="AD78" i="1"/>
  <c r="AE78" i="1"/>
  <c r="AC79" i="1"/>
  <c r="AD79" i="1"/>
  <c r="AE79" i="1"/>
  <c r="AE76" i="1"/>
  <c r="AE64" i="1"/>
  <c r="AE65" i="1"/>
  <c r="AE66" i="1"/>
  <c r="AE67" i="1"/>
  <c r="AE68" i="1"/>
  <c r="AE63" i="1"/>
  <c r="AC76" i="1"/>
  <c r="AD76" i="1"/>
  <c r="AD64" i="1"/>
  <c r="AD65" i="1"/>
  <c r="AD66" i="1"/>
  <c r="AD67" i="1"/>
  <c r="AD68" i="1"/>
  <c r="AD63" i="1"/>
  <c r="AC64" i="1"/>
  <c r="AC65" i="1"/>
  <c r="AC66" i="1"/>
  <c r="AC67" i="1"/>
  <c r="AC68" i="1"/>
  <c r="AC63" i="1"/>
  <c r="F99" i="1"/>
  <c r="AA67" i="1"/>
  <c r="F83" i="1" s="1"/>
  <c r="AC80" i="1" l="1"/>
  <c r="AD80" i="1"/>
  <c r="E84" i="1" s="1"/>
  <c r="AE80" i="1"/>
  <c r="F84" i="1" s="1"/>
  <c r="AG43" i="1"/>
  <c r="AF42" i="1"/>
  <c r="D44" i="1"/>
  <c r="G40" i="1"/>
  <c r="E40" i="1"/>
  <c r="AA16" i="1"/>
  <c r="G39" i="1"/>
  <c r="E39" i="1"/>
  <c r="AA14" i="1"/>
  <c r="D29" i="1" s="1"/>
  <c r="AA24" i="1"/>
  <c r="J35" i="1" s="1"/>
  <c r="D16" i="1"/>
  <c r="G29" i="1"/>
  <c r="AF44" i="1"/>
  <c r="AG44" i="1"/>
  <c r="AH44" i="1"/>
  <c r="AI44" i="1"/>
  <c r="AJ44" i="1"/>
  <c r="AK44" i="1"/>
  <c r="AH43" i="1"/>
  <c r="AJ43" i="1"/>
  <c r="AK43" i="1"/>
  <c r="AH42" i="1"/>
  <c r="AI42" i="1"/>
  <c r="AK42" i="1"/>
  <c r="AF41" i="1"/>
  <c r="AG41" i="1"/>
  <c r="AH41" i="1"/>
  <c r="AI41" i="1"/>
  <c r="AJ41" i="1"/>
  <c r="AK41" i="1"/>
  <c r="AA10" i="1"/>
  <c r="E37" i="1" s="1"/>
  <c r="AA66" i="1"/>
  <c r="E83" i="1" s="1"/>
  <c r="AA65" i="1"/>
  <c r="D83" i="1" s="1"/>
  <c r="J53" i="1"/>
  <c r="C20" i="2"/>
  <c r="C15" i="2"/>
  <c r="C33" i="2" s="1"/>
  <c r="AA15" i="1"/>
  <c r="G38" i="1" s="1"/>
  <c r="AA11" i="1"/>
  <c r="D38" i="1" s="1"/>
  <c r="C37" i="2"/>
  <c r="C36" i="2"/>
  <c r="C25" i="2"/>
  <c r="C26" i="2"/>
  <c r="C27" i="2" s="1"/>
  <c r="C21" i="2"/>
  <c r="AA27" i="1"/>
  <c r="J37" i="1" s="1"/>
  <c r="AA12" i="1"/>
  <c r="E38" i="1" s="1"/>
  <c r="AA138" i="1"/>
  <c r="O129" i="1" s="1"/>
  <c r="AA102" i="1"/>
  <c r="G119" i="1" s="1"/>
  <c r="AA106" i="1"/>
  <c r="G121" i="1" s="1"/>
  <c r="G130" i="1"/>
  <c r="AA98" i="1"/>
  <c r="G117" i="1" s="1"/>
  <c r="G143" i="1"/>
  <c r="AA6" i="1"/>
  <c r="E30" i="1" s="1"/>
  <c r="E99" i="1"/>
  <c r="AA119" i="1"/>
  <c r="O122" i="1" s="1"/>
  <c r="AA123" i="1"/>
  <c r="O123" i="1" s="1"/>
  <c r="AA126" i="1"/>
  <c r="O124" i="1" s="1"/>
  <c r="AA129" i="1"/>
  <c r="O125" i="1" s="1"/>
  <c r="AA133" i="1"/>
  <c r="O126" i="1" s="1"/>
  <c r="AA144" i="1"/>
  <c r="O143" i="1" s="1"/>
  <c r="AA147" i="1"/>
  <c r="O144" i="1" s="1"/>
  <c r="AA150" i="1"/>
  <c r="O145" i="1" s="1"/>
  <c r="AA153" i="1"/>
  <c r="O146" i="1" s="1"/>
  <c r="K33" i="1"/>
  <c r="AD88" i="1" l="1"/>
  <c r="AB88" i="1"/>
  <c r="AA46" i="1"/>
  <c r="C56" i="1" s="1"/>
  <c r="AG71" i="1"/>
  <c r="AA55" i="1" s="1"/>
  <c r="AL42" i="1"/>
  <c r="AA90" i="1"/>
  <c r="O72" i="1"/>
  <c r="AE81" i="1"/>
  <c r="AC81" i="1"/>
  <c r="D84" i="1"/>
  <c r="AL43" i="1"/>
  <c r="AA8" i="1"/>
  <c r="K31" i="1" s="1"/>
  <c r="AA168" i="1"/>
  <c r="I134" i="1" s="1"/>
  <c r="G127" i="1"/>
  <c r="AL44" i="1"/>
  <c r="AA143" i="1"/>
  <c r="AA118" i="1"/>
  <c r="G131" i="1"/>
  <c r="AM42" i="1"/>
  <c r="AM43" i="1"/>
  <c r="AM44" i="1"/>
  <c r="AL41" i="1"/>
  <c r="AM41" i="1"/>
  <c r="AA23" i="1"/>
  <c r="E29" i="1" s="1"/>
  <c r="AF63" i="1" s="1"/>
  <c r="AE83" i="1" l="1"/>
  <c r="AA95" i="1"/>
  <c r="H106" i="1" s="1"/>
  <c r="AA94" i="1" s="1"/>
  <c r="G106" i="1" s="1"/>
  <c r="AA72" i="1"/>
  <c r="AA71" i="1" s="1"/>
  <c r="AA80" i="1"/>
  <c r="AA79" i="1" s="1"/>
  <c r="G96" i="1" s="1"/>
  <c r="AA78" i="1"/>
  <c r="AA77" i="1" s="1"/>
  <c r="G95" i="1" s="1"/>
  <c r="AA74" i="1"/>
  <c r="AA73" i="1" s="1"/>
  <c r="G93" i="1" s="1"/>
  <c r="AA76" i="1"/>
  <c r="AA75" i="1" s="1"/>
  <c r="G94" i="1" s="1"/>
  <c r="AA82" i="1"/>
  <c r="AA81" i="1" s="1"/>
  <c r="G97" i="1" s="1"/>
  <c r="AA62" i="1"/>
  <c r="AA64" i="1"/>
  <c r="AA58" i="1"/>
  <c r="AA60" i="1"/>
  <c r="AF65" i="1"/>
  <c r="AF67" i="1"/>
  <c r="AF68" i="1"/>
  <c r="AF66" i="1"/>
  <c r="AF64" i="1"/>
  <c r="AA48" i="1"/>
  <c r="AB53" i="1" s="1"/>
  <c r="AC88" i="1"/>
  <c r="AB95" i="1"/>
  <c r="AD42" i="1"/>
  <c r="AD43" i="1"/>
  <c r="AA32" i="1"/>
  <c r="AG64" i="1" s="1"/>
  <c r="AA63" i="1"/>
  <c r="AG79" i="1" s="1"/>
  <c r="AA56" i="1"/>
  <c r="AG76" i="1" s="1"/>
  <c r="AA33" i="1"/>
  <c r="AA36" i="1"/>
  <c r="AG66" i="1" s="1"/>
  <c r="AA39" i="1"/>
  <c r="AG67" i="1" s="1"/>
  <c r="AA132" i="1"/>
  <c r="I107" i="1" s="1"/>
  <c r="AA136" i="1" s="1"/>
  <c r="I108" i="1" s="1"/>
  <c r="AA40" i="1"/>
  <c r="AA34" i="1"/>
  <c r="AG65" i="1" s="1"/>
  <c r="AD44" i="1"/>
  <c r="AA182" i="1" s="1"/>
  <c r="I142" i="1" s="1"/>
  <c r="AA45" i="1"/>
  <c r="AD81" i="1"/>
  <c r="AD41" i="1"/>
  <c r="AA37" i="1"/>
  <c r="AA61" i="1"/>
  <c r="AG78" i="1" s="1"/>
  <c r="AA30" i="1"/>
  <c r="AG63" i="1" s="1"/>
  <c r="AA42" i="1"/>
  <c r="AA35" i="1"/>
  <c r="AA59" i="1"/>
  <c r="AG77" i="1" s="1"/>
  <c r="AA31" i="1"/>
  <c r="AA41" i="1"/>
  <c r="AG68" i="1" s="1"/>
  <c r="AA113" i="1"/>
  <c r="AA100" i="1"/>
  <c r="G118" i="1" s="1"/>
  <c r="AA44" i="1"/>
  <c r="J58" i="1" s="1"/>
  <c r="AA53" i="1"/>
  <c r="K58" i="1" s="1"/>
  <c r="AA43" i="1"/>
  <c r="I58" i="1" s="1"/>
  <c r="AA29" i="1" s="1"/>
  <c r="I53" i="1" s="1"/>
  <c r="AB96" i="1" l="1"/>
  <c r="AB117" i="1"/>
  <c r="AE82" i="1"/>
  <c r="H94" i="1"/>
  <c r="H78" i="1"/>
  <c r="L68" i="1" s="1"/>
  <c r="G92" i="1"/>
  <c r="AG87" i="1"/>
  <c r="H92" i="1"/>
  <c r="H96" i="1"/>
  <c r="H97" i="1"/>
  <c r="H95" i="1"/>
  <c r="D56" i="1"/>
  <c r="H93" i="1"/>
  <c r="AC95" i="1"/>
  <c r="AG89" i="1"/>
  <c r="AG90" i="1"/>
  <c r="H56" i="1"/>
  <c r="AC53" i="1"/>
  <c r="AA47" i="1"/>
  <c r="C55" i="1"/>
  <c r="H80" i="1"/>
  <c r="AG92" i="1"/>
  <c r="AG88" i="1"/>
  <c r="H69" i="1"/>
  <c r="L59" i="1" s="1"/>
  <c r="AG91" i="1"/>
  <c r="H67" i="1"/>
  <c r="L56" i="1" s="1"/>
  <c r="AA186" i="1"/>
  <c r="K144" i="1" s="1"/>
  <c r="AA178" i="1"/>
  <c r="I140" i="1" s="1"/>
  <c r="H65" i="1"/>
  <c r="L54" i="1" s="1"/>
  <c r="H66" i="1"/>
  <c r="L55" i="1" s="1"/>
  <c r="H68" i="1"/>
  <c r="L58" i="1" s="1"/>
  <c r="H70" i="1"/>
  <c r="H81" i="1"/>
  <c r="H79" i="1"/>
  <c r="AA68" i="1"/>
  <c r="AG82" i="1" s="1"/>
  <c r="AB52" i="1" l="1"/>
  <c r="AB119" i="1" s="1"/>
  <c r="AB120" i="1" s="1"/>
  <c r="D111" i="1" s="1"/>
  <c r="AA52" i="1"/>
  <c r="AA50" i="1"/>
  <c r="D26" i="2" s="1"/>
  <c r="AC83" i="1"/>
  <c r="AD83" i="1"/>
  <c r="AC96" i="1"/>
  <c r="AD117" i="1"/>
  <c r="AF117" i="1" s="1"/>
  <c r="D37" i="2"/>
  <c r="L60" i="1"/>
  <c r="L61" i="1" s="1"/>
  <c r="AA69" i="1"/>
  <c r="AA88" i="1"/>
  <c r="H99" i="1" s="1"/>
  <c r="AA13" i="1" s="1"/>
  <c r="K34" i="1" s="1"/>
  <c r="AD119" i="1"/>
  <c r="D55" i="1"/>
  <c r="AA87" i="1"/>
  <c r="AG94" i="1" s="1"/>
  <c r="G99" i="1" s="1"/>
  <c r="AB35" i="1" l="1"/>
  <c r="G67" i="1" s="1"/>
  <c r="AB33" i="1"/>
  <c r="G66" i="1" s="1"/>
  <c r="AC52" i="1"/>
  <c r="H55" i="1"/>
  <c r="AB60" i="1"/>
  <c r="G80" i="1" s="1"/>
  <c r="D21" i="2"/>
  <c r="E128" i="1" s="1"/>
  <c r="AA124" i="1" s="1"/>
  <c r="G128" i="1" s="1"/>
  <c r="AB37" i="1"/>
  <c r="G68" i="1" s="1"/>
  <c r="D25" i="2"/>
  <c r="AB40" i="1"/>
  <c r="G69" i="1" s="1"/>
  <c r="D20" i="2"/>
  <c r="E129" i="1" s="1"/>
  <c r="AA127" i="1" s="1"/>
  <c r="G129" i="1" s="1"/>
  <c r="AA128" i="1" s="1"/>
  <c r="H129" i="1" s="1"/>
  <c r="D36" i="2"/>
  <c r="E144" i="1" s="1"/>
  <c r="AA154" i="1" s="1"/>
  <c r="G144" i="1" s="1"/>
  <c r="AB31" i="1"/>
  <c r="G65" i="1" s="1"/>
  <c r="AB55" i="1"/>
  <c r="G78" i="1" s="1"/>
  <c r="D27" i="2"/>
  <c r="E141" i="1" s="1"/>
  <c r="AA145" i="1" s="1"/>
  <c r="G141" i="1" s="1"/>
  <c r="D15" i="2"/>
  <c r="AB42" i="1"/>
  <c r="G70" i="1" s="1"/>
  <c r="AB62" i="1"/>
  <c r="G81" i="1" s="1"/>
  <c r="AA152" i="1"/>
  <c r="H143" i="1" s="1"/>
  <c r="D33" i="2"/>
  <c r="E142" i="1" s="1"/>
  <c r="AA148" i="1" s="1"/>
  <c r="G142" i="1" s="1"/>
  <c r="AC84" i="1"/>
  <c r="AA109" i="1"/>
  <c r="H122" i="1" s="1"/>
  <c r="AA111" i="1"/>
  <c r="H123" i="1" s="1"/>
  <c r="G57" i="1"/>
  <c r="H101" i="1"/>
  <c r="AA99" i="1"/>
  <c r="H117" i="1" s="1"/>
  <c r="AA26" i="1" s="1"/>
  <c r="K36" i="1" s="1"/>
  <c r="AA103" i="1"/>
  <c r="H119" i="1" s="1"/>
  <c r="AA131" i="1"/>
  <c r="H130" i="1" s="1"/>
  <c r="AA107" i="1"/>
  <c r="H121" i="1" s="1"/>
  <c r="AA121" i="1"/>
  <c r="H127" i="1" s="1"/>
  <c r="AA135" i="1"/>
  <c r="H131" i="1" s="1"/>
  <c r="AA101" i="1"/>
  <c r="H118" i="1" s="1"/>
  <c r="AB58" i="1"/>
  <c r="G79" i="1" s="1"/>
  <c r="AD120" i="1"/>
  <c r="F111" i="1" s="1"/>
  <c r="H59" i="1"/>
  <c r="AA51" i="1"/>
  <c r="H84" i="1"/>
  <c r="AA38" i="1" s="1"/>
  <c r="K53" i="1" s="1"/>
  <c r="AA70" i="1"/>
  <c r="G84" i="1" s="1"/>
  <c r="AA170" i="1"/>
  <c r="G59" i="1"/>
  <c r="AA96" i="1" l="1"/>
  <c r="G116" i="1" s="1"/>
  <c r="AA97" i="1" s="1"/>
  <c r="H116" i="1" s="1"/>
  <c r="AA25" i="1" s="1"/>
  <c r="K35" i="1" s="1"/>
  <c r="AA104" i="1"/>
  <c r="G120" i="1" s="1"/>
  <c r="AA89" i="1"/>
  <c r="AA116" i="1"/>
  <c r="G87" i="1" s="1"/>
  <c r="AA117" i="1" s="1"/>
  <c r="H87" i="1" s="1"/>
  <c r="AA9" i="1" s="1"/>
  <c r="K32" i="1" s="1"/>
  <c r="AA125" i="1"/>
  <c r="H128" i="1" s="1"/>
  <c r="AA149" i="1"/>
  <c r="H142" i="1" s="1"/>
  <c r="AA155" i="1"/>
  <c r="H144" i="1" s="1"/>
  <c r="AA146" i="1"/>
  <c r="H141" i="1" s="1"/>
  <c r="I135" i="1"/>
  <c r="AA174" i="1" s="1"/>
  <c r="I138" i="1" s="1"/>
  <c r="AA122" i="1"/>
  <c r="I104" i="1" s="1"/>
  <c r="AA105" i="1" l="1"/>
  <c r="H120" i="1" s="1"/>
  <c r="AA159" i="1"/>
  <c r="F151" i="1" s="1"/>
  <c r="AA172" i="1"/>
  <c r="I136" i="1" s="1"/>
  <c r="AA181" i="1"/>
  <c r="I141" i="1" s="1"/>
  <c r="AA157" i="1"/>
  <c r="H146" i="1" s="1"/>
  <c r="AA175" i="1"/>
  <c r="I139" i="1" s="1"/>
  <c r="AA180" i="1"/>
  <c r="AA28" i="1" l="1"/>
  <c r="K37" i="1" s="1"/>
  <c r="AA137" i="1"/>
  <c r="I109" i="1" s="1"/>
  <c r="AA140" i="1" s="1"/>
  <c r="H134" i="1" s="1"/>
  <c r="AA169" i="1" s="1"/>
  <c r="K134" i="1" s="1"/>
  <c r="AA171" i="1" s="1"/>
  <c r="K135" i="1" s="1"/>
  <c r="AA176" i="1" s="1"/>
  <c r="AA183" i="1"/>
  <c r="I143" i="1" s="1"/>
  <c r="AA7" i="1" s="1"/>
  <c r="K26" i="1" s="1"/>
  <c r="AA156" i="1"/>
  <c r="G146" i="1" s="1"/>
  <c r="AA165" i="1"/>
  <c r="F155" i="1" s="1"/>
  <c r="AA164" i="1" s="1"/>
  <c r="E155" i="1" s="1"/>
  <c r="AA4" i="1"/>
  <c r="K24" i="1" s="1"/>
  <c r="AA158" i="1"/>
  <c r="E151" i="1" s="1"/>
  <c r="AA5" i="1"/>
  <c r="K25" i="1" s="1"/>
  <c r="AD141" i="1" l="1"/>
  <c r="AD142" i="1" s="1"/>
  <c r="AC146" i="1"/>
  <c r="AD146" i="1" s="1"/>
  <c r="G163" i="1" s="1"/>
  <c r="AC145" i="1"/>
  <c r="AD145" i="1" s="1"/>
  <c r="F163" i="1" s="1"/>
  <c r="AA177" i="1" s="1"/>
  <c r="AA173" i="1"/>
  <c r="K136" i="1" s="1"/>
  <c r="AA179" i="1" s="1"/>
  <c r="AA139" i="1"/>
  <c r="G134" i="1" s="1"/>
  <c r="AA142" i="1"/>
  <c r="H136" i="1" s="1"/>
  <c r="AA3" i="1" s="1"/>
  <c r="K23" i="1" s="1"/>
  <c r="AC141" i="1"/>
  <c r="AC142" i="1" s="1"/>
  <c r="AA185" i="1"/>
  <c r="I144" i="1" s="1"/>
  <c r="AA189" i="1" s="1"/>
  <c r="G170" i="1" s="1"/>
  <c r="H170" i="1" s="1"/>
  <c r="AD143" i="1" l="1"/>
  <c r="AD144" i="1" s="1"/>
  <c r="AA161" i="1"/>
  <c r="F152" i="1" s="1"/>
  <c r="AA160" i="1" s="1"/>
  <c r="E152" i="1" s="1"/>
  <c r="AA141" i="1"/>
  <c r="G136" i="1" s="1"/>
  <c r="AC143" i="1"/>
  <c r="AC144" i="1" s="1"/>
  <c r="AA163" i="1" l="1"/>
  <c r="F154" i="1" s="1"/>
  <c r="AA167" i="1" s="1"/>
  <c r="F157" i="1" s="1"/>
  <c r="AA184" i="1" l="1"/>
  <c r="K143" i="1" s="1"/>
  <c r="AA162" i="1"/>
  <c r="E154" i="1" s="1"/>
  <c r="AA166" i="1"/>
  <c r="E157" i="1" s="1"/>
  <c r="AA2" i="1" s="1"/>
  <c r="H3" i="1" s="1"/>
  <c r="AA191" i="1" l="1"/>
  <c r="J147" i="1" s="1"/>
  <c r="AA192" i="1"/>
  <c r="K147" i="1" s="1"/>
  <c r="AA195" i="1" s="1"/>
  <c r="K148" i="1" s="1"/>
  <c r="AA206" i="1"/>
  <c r="C179" i="1" s="1"/>
  <c r="AA202" i="1"/>
  <c r="C175" i="1" s="1"/>
  <c r="AA204" i="1"/>
  <c r="C177" i="1" s="1"/>
  <c r="AA190" i="1"/>
  <c r="I147" i="1" s="1"/>
  <c r="AA196" i="1" s="1"/>
  <c r="I149" i="1" s="1"/>
  <c r="AA203" i="1"/>
  <c r="C176" i="1" s="1"/>
  <c r="AA205" i="1"/>
  <c r="C178" i="1" s="1"/>
  <c r="AA207" i="1"/>
  <c r="F183" i="1" s="1"/>
  <c r="AA198" i="1" l="1"/>
  <c r="K149" i="1" s="1"/>
  <c r="AA201" i="1" s="1"/>
  <c r="K150" i="1" s="1"/>
  <c r="AA208" i="1" s="1"/>
  <c r="F184" i="1" s="1"/>
  <c r="AA193" i="1"/>
  <c r="I148" i="1" s="1"/>
  <c r="AA199" i="1" s="1"/>
  <c r="I150" i="1" s="1"/>
  <c r="AA187" i="1" s="1"/>
  <c r="G168" i="1" s="1"/>
  <c r="AA197" i="1"/>
  <c r="J149" i="1" s="1"/>
  <c r="AA194" i="1"/>
  <c r="J148" i="1" s="1"/>
  <c r="AA200" i="1" l="1"/>
  <c r="J150" i="1" s="1"/>
  <c r="AA188" i="1" s="1"/>
  <c r="G16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 John (OMAFRA)</author>
    <author>molenhuisjo</author>
  </authors>
  <commentList>
    <comment ref="D14" authorId="0" shapeId="0" xr:uid="{00000000-0006-0000-0000-000001000000}">
      <text>
        <r>
          <rPr>
            <sz val="12"/>
            <color indexed="81"/>
            <rFont val="Tahoma"/>
            <family val="2"/>
          </rPr>
          <t>Si vous entrez zéro, les nombres entrés pour les deux phases dans le budget ne seront pas pris en compte.</t>
        </r>
      </text>
    </comment>
    <comment ref="D15" authorId="0" shapeId="0" xr:uid="{00000000-0006-0000-0000-000002000000}">
      <text>
        <r>
          <rPr>
            <sz val="12"/>
            <color indexed="81"/>
            <rFont val="Tahoma"/>
            <family val="2"/>
          </rPr>
          <t>Si vous entrez zéro, les nombres entrés pour les veaux semi-finis dans le budget ne seront pris en compte.</t>
        </r>
      </text>
    </comment>
    <comment ref="D16" authorId="0" shapeId="0" xr:uid="{00000000-0006-0000-0000-000003000000}">
      <text>
        <r>
          <rPr>
            <sz val="12"/>
            <color indexed="81"/>
            <rFont val="Tahoma"/>
            <family val="2"/>
          </rPr>
          <t xml:space="preserve">Les 650 têtes annuelles entrées dans l'exemple de budget correspondent à la production estimée pour 1 équivalent personne.
</t>
        </r>
      </text>
    </comment>
    <comment ref="A18" authorId="0" shapeId="0" xr:uid="{00000000-0006-0000-0000-000004000000}">
      <text>
        <r>
          <rPr>
            <sz val="12"/>
            <color indexed="81"/>
            <rFont val="Tahoma"/>
            <family val="2"/>
          </rPr>
          <t>La section sur les exigences relatives aux installations aide à estimer les dimensions nécessaires en fonction du nombre de veaux achetés. Les calculs ne sont fournis qu'à titre indicatif et n'ont pas d'incidence sur les calculs des coûts de production dans le budget. 
Le Code de pratiques pour le soin et la manipulation des veaux lourds indique les exigences concernant le logement des veaux. Il peut être consulté dans le site Web du Conseil national pour les soins aux animaux d'élevage, à l'adresse https://www.nfacc.ca/codes-de-pratiques/veaux-lourds.</t>
        </r>
      </text>
    </comment>
    <comment ref="A42" authorId="0" shapeId="0" xr:uid="{00000000-0006-0000-0000-000005000000}">
      <text>
        <r>
          <rPr>
            <sz val="12"/>
            <color indexed="81"/>
            <rFont val="Tahoma"/>
            <family val="2"/>
          </rPr>
          <t>Les calculs du budget relatifs à la valeur marchande sont fondés sur le prix en fonction du poids vif. Utilisez cette section pour convenir les prix selon le poids vif et le poids sur le rail.
La conversion est fondée sur le rendement carcasse entré ci-dessus.</t>
        </r>
      </text>
    </comment>
    <comment ref="A46" authorId="0" shapeId="0" xr:uid="{00000000-0006-0000-0000-000006000000}">
      <text>
        <r>
          <rPr>
            <sz val="12"/>
            <color indexed="81"/>
            <rFont val="Tahoma"/>
            <family val="2"/>
          </rPr>
          <t xml:space="preserve">Les principaux facteurs de risque qui influent sur une exploitation d'élevage de veaux sont pris en compte dans le budget. Déterminer les risques et l'éventail de résultats possibles peut aider à trouver des moyens de gérer les risques ou de les atténuer.
Les valeurs entrées ici ont une incidence sur la section Analyse des risques à la fin du budget.
</t>
        </r>
      </text>
    </comment>
    <comment ref="C46" authorId="1" shapeId="0" xr:uid="{00000000-0006-0000-0000-000007000000}">
      <text>
        <r>
          <rPr>
            <sz val="12"/>
            <color indexed="81"/>
            <rFont val="Tahoma"/>
            <family val="2"/>
          </rPr>
          <t>L’estimation optimiste est le rendement auquel vous pourriez raisonnablement vous attendre au moins une année sur six.</t>
        </r>
      </text>
    </comment>
    <comment ref="F46" authorId="1" shapeId="0" xr:uid="{00000000-0006-0000-0000-000008000000}">
      <text>
        <r>
          <rPr>
            <sz val="12"/>
            <color indexed="81"/>
            <rFont val="Tahoma"/>
            <family val="2"/>
          </rPr>
          <t>L’attente pessimiste est le rendement le plus faible auquel vous pourriez raisonnablement vous attendre une année sur six.</t>
        </r>
        <r>
          <rPr>
            <b/>
            <sz val="12"/>
            <color indexed="81"/>
            <rFont val="Tahoma"/>
            <family val="2"/>
          </rPr>
          <t xml:space="preserve">
</t>
        </r>
      </text>
    </comment>
    <comment ref="A57" authorId="0" shapeId="0" xr:uid="{00000000-0006-0000-0000-000009000000}">
      <text>
        <r>
          <rPr>
            <sz val="12"/>
            <color indexed="81"/>
            <rFont val="Arial"/>
            <family val="2"/>
          </rPr>
          <t>Il peut s'agir des programmes de gestion des risques des entreprises, des programmes d'autres gouvernements ou d'autres programmes d'aide financière à frais partagés. Ce ne sont pas tous les producteurs qui participent à ces programmes.
Entrez le montant total annuel reçu, le cas échéant.</t>
        </r>
      </text>
    </comment>
    <comment ref="A91" authorId="0" shapeId="0" xr:uid="{00000000-0006-0000-0000-00000A000000}">
      <text>
        <r>
          <rPr>
            <sz val="12"/>
            <color indexed="81"/>
            <rFont val="Tahoma"/>
            <family val="2"/>
          </rPr>
          <t xml:space="preserve">Communiquez avec votre vétérinaire afin d'élaborer un programme de santé pour les veaux. 
Une relation vétérinaire-client-patient doit avoir été établie avant que des antimicrobiens ou tout produit d'ordonnance puissent être prescrits à des animaux. </t>
        </r>
      </text>
    </comment>
    <comment ref="B106" authorId="0" shapeId="0" xr:uid="{00000000-0006-0000-0000-00000B000000}">
      <text>
        <r>
          <rPr>
            <sz val="12"/>
            <color indexed="81"/>
            <rFont val="Tahoma"/>
            <family val="2"/>
          </rPr>
          <t xml:space="preserve">Taux salarial versé aux employés embauchés :
Taux salarial plus les cotisations de l'employeur
</t>
        </r>
      </text>
    </comment>
    <comment ref="A111" authorId="0" shapeId="0" xr:uid="{00000000-0006-0000-0000-00000C000000}">
      <text>
        <r>
          <rPr>
            <sz val="12"/>
            <color indexed="81"/>
            <rFont val="Tahoma"/>
            <family val="2"/>
          </rPr>
          <t>Marge = Revenu moins les coûts liés aux aliments, à l'achat de veaux, à la santé et à la main-d'œuvre
C'est ce qui est disponible pour payer les charges variables indirectes et les charges fixes.</t>
        </r>
      </text>
    </comment>
    <comment ref="F120" authorId="0" shapeId="0" xr:uid="{00000000-0006-0000-0000-00000D000000}">
      <text>
        <r>
          <rPr>
            <sz val="12"/>
            <color indexed="81"/>
            <rFont val="Tahoma"/>
            <family val="2"/>
          </rPr>
          <t>500 lb à 600 lb de paille par veau, selon le type de logement</t>
        </r>
      </text>
    </comment>
    <comment ref="A128" authorId="0" shapeId="0" xr:uid="{00000000-0006-0000-0000-00000E000000}">
      <text>
        <r>
          <rPr>
            <sz val="12"/>
            <color indexed="81"/>
            <rFont val="Tahoma"/>
            <family val="2"/>
          </rPr>
          <t>Utilisez la feuille de calcul « Dépenses en capital » pour faire le calcul ou entrez directement le montant ici.</t>
        </r>
      </text>
    </comment>
    <comment ref="A129" authorId="0" shapeId="0" xr:uid="{00000000-0006-0000-0000-00000F000000}">
      <text>
        <r>
          <rPr>
            <sz val="12"/>
            <color indexed="81"/>
            <rFont val="Tahoma"/>
            <family val="2"/>
          </rPr>
          <t>Utilisez la feuille de calcul « Dépenses en capital » pour faire le calcul ou entrez directement le montant ici.</t>
        </r>
      </text>
    </comment>
    <comment ref="A141" authorId="0" shapeId="0" xr:uid="{00000000-0006-0000-0000-000010000000}">
      <text>
        <r>
          <rPr>
            <sz val="12"/>
            <color indexed="81"/>
            <rFont val="Tahoma"/>
            <family val="2"/>
          </rPr>
          <t>Utilisez la feuille de calcul « Dépenses en capital » pour faire le calcul ou entrez directement le montant ici.</t>
        </r>
      </text>
    </comment>
    <comment ref="A142" authorId="0" shapeId="0" xr:uid="{00000000-0006-0000-0000-000011000000}">
      <text>
        <r>
          <rPr>
            <sz val="12"/>
            <color indexed="81"/>
            <rFont val="Tahoma"/>
            <family val="2"/>
          </rPr>
          <t>Utilisez la feuille de calcul « Dépenses en capital » pour faire le calcul ou entrez directement le montant ici.</t>
        </r>
      </text>
    </comment>
    <comment ref="A144" authorId="0" shapeId="0" xr:uid="{00000000-0006-0000-0000-000012000000}">
      <text>
        <r>
          <rPr>
            <sz val="12"/>
            <color indexed="81"/>
            <rFont val="Tahoma"/>
            <family val="2"/>
          </rPr>
          <t>Utilisez la feuille de calcul « Dépenses en capital » pour faire le calcul ou entrez directement le montant ici.</t>
        </r>
      </text>
    </comment>
    <comment ref="B170" authorId="1" shapeId="0" xr:uid="{00000000-0006-0000-0000-000013000000}">
      <text>
        <r>
          <rPr>
            <sz val="12"/>
            <color indexed="81"/>
            <rFont val="Tahoma"/>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text>
    </comment>
  </commentList>
</comments>
</file>

<file path=xl/sharedStrings.xml><?xml version="1.0" encoding="utf-8"?>
<sst xmlns="http://schemas.openxmlformats.org/spreadsheetml/2006/main" count="392" uniqueCount="263">
  <si>
    <t>Revised: June 94</t>
  </si>
  <si>
    <t>carried over to Stage 2 (any numbers in the Stage 2 column will then be ignored by the budget).</t>
  </si>
  <si>
    <t>Stage 1</t>
  </si>
  <si>
    <t>Stage 2</t>
  </si>
  <si>
    <t>-</t>
  </si>
  <si>
    <t>Tran!D3..G14</t>
  </si>
  <si>
    <t>End of Stage Cattle Sold %</t>
  </si>
  <si>
    <t>Allo!C3..J14</t>
  </si>
  <si>
    <t>% Crop Transfers by Stage</t>
  </si>
  <si>
    <t>+ / -</t>
  </si>
  <si>
    <t>% of Expected</t>
  </si>
  <si>
    <t>Avg. Feed</t>
  </si>
  <si>
    <t>$/Tonne</t>
  </si>
  <si>
    <t>kgs/Hd</t>
  </si>
  <si>
    <t>$/Year</t>
  </si>
  <si>
    <t xml:space="preserve"> -------</t>
  </si>
  <si>
    <t>head)</t>
  </si>
  <si>
    <t xml:space="preserve"> </t>
  </si>
  <si>
    <t>Avg. Med'n</t>
  </si>
  <si>
    <t>$/Hd</t>
  </si>
  <si>
    <t>Number of Head to Base Following Variable Costs on ==&gt; **</t>
  </si>
  <si>
    <t>$/Calf</t>
  </si>
  <si>
    <t>Wfarm!L4</t>
  </si>
  <si>
    <t>Wfarm!L5</t>
  </si>
  <si>
    <t>Wfarm!L6</t>
  </si>
  <si>
    <t>Wfarm!L7</t>
  </si>
  <si>
    <t>Wfarm!L8</t>
  </si>
  <si>
    <t>Wfarm!L9</t>
  </si>
  <si>
    <t xml:space="preserve"> Enterprise</t>
  </si>
  <si>
    <t xml:space="preserve"> $ Allocated</t>
  </si>
  <si>
    <t>Wfarm!K4</t>
  </si>
  <si>
    <t>Wfarm!K5</t>
  </si>
  <si>
    <t>Wfarm!K6</t>
  </si>
  <si>
    <t>Wfarm!K7</t>
  </si>
  <si>
    <t xml:space="preserve">  ------</t>
  </si>
  <si>
    <t>sumother</t>
  </si>
  <si>
    <t>vcost1</t>
  </si>
  <si>
    <t>vcost2</t>
  </si>
  <si>
    <t>Total</t>
  </si>
  <si>
    <t>BEcatpur</t>
  </si>
  <si>
    <t>tr1</t>
  </si>
  <si>
    <t xml:space="preserve">   b.e.</t>
  </si>
  <si>
    <t xml:space="preserve"> +profit</t>
  </si>
  <si>
    <t xml:space="preserve"> ¬ price</t>
  </si>
  <si>
    <t>tr2</t>
  </si>
  <si>
    <t>dlvar1</t>
  </si>
  <si>
    <t>dlvar2</t>
  </si>
  <si>
    <t>dlvar3</t>
  </si>
  <si>
    <t>catpurvar</t>
  </si>
  <si>
    <t xml:space="preserve">       17 %</t>
  </si>
  <si>
    <t>pricevar</t>
  </si>
  <si>
    <t xml:space="preserve">       33 %</t>
  </si>
  <si>
    <t>dofvar</t>
  </si>
  <si>
    <t xml:space="preserve">       50 %</t>
  </si>
  <si>
    <t>sumstd</t>
  </si>
  <si>
    <t xml:space="preserve">       67 %</t>
  </si>
  <si>
    <t>hdstd</t>
  </si>
  <si>
    <t xml:space="preserve">       83 %</t>
  </si>
  <si>
    <t>z</t>
  </si>
  <si>
    <t>v1</t>
  </si>
  <si>
    <t>v2</t>
  </si>
  <si>
    <t>%</t>
  </si>
  <si>
    <t>p(vx)</t>
  </si>
  <si>
    <t/>
  </si>
  <si>
    <t xml:space="preserve">Homegrown Feed: </t>
  </si>
  <si>
    <t xml:space="preserve"> -</t>
  </si>
  <si>
    <t>ag.info.omafra@ontario.ca</t>
  </si>
  <si>
    <t>under Stage 1 (adjusting the weight, Average Daily Gain, death loss, etc. to represent that particular stage of growth).</t>
  </si>
  <si>
    <t xml:space="preserve">Please keep in mind that if only one stage is being used,  you must make sure the 'End of Stage Cattle Sold %' for </t>
  </si>
  <si>
    <t>Stage 1 is '100%.  This indicates that all calves raised in Stage 1 are sold at the end of Stage 1 and no calves are</t>
  </si>
  <si>
    <t>Total $</t>
  </si>
  <si>
    <t>Preconditioned</t>
  </si>
  <si>
    <t>Opt</t>
  </si>
  <si>
    <t>Pess</t>
  </si>
  <si>
    <t>Precon</t>
  </si>
  <si>
    <t>Stage2 marketed</t>
  </si>
  <si>
    <t>PreCon marketed</t>
  </si>
  <si>
    <t>Stage2 marketed lbs</t>
  </si>
  <si>
    <t>PreCon marketed lbs</t>
  </si>
  <si>
    <t>OptAvg</t>
  </si>
  <si>
    <t>PessAvg</t>
  </si>
  <si>
    <t>Total revenue</t>
  </si>
  <si>
    <t>$/calf purchased</t>
  </si>
  <si>
    <t>Yes</t>
  </si>
  <si>
    <t>No</t>
  </si>
  <si>
    <t>=</t>
  </si>
  <si>
    <t xml:space="preserve">     |------------------------ kg/hd ----------------------|</t>
  </si>
  <si>
    <t>Feed</t>
  </si>
  <si>
    <t>Labour</t>
  </si>
  <si>
    <t>Health</t>
  </si>
  <si>
    <t>Calf purchases</t>
  </si>
  <si>
    <t>Total VC</t>
  </si>
  <si>
    <t>2Stage</t>
  </si>
  <si>
    <t>precon</t>
  </si>
  <si>
    <t>breakeven</t>
  </si>
  <si>
    <t>Total Costs</t>
  </si>
  <si>
    <t>Return</t>
  </si>
  <si>
    <t>total costs</t>
  </si>
  <si>
    <t>Total Direct VC</t>
  </si>
  <si>
    <t>Rend./veau</t>
  </si>
  <si>
    <t>BUDGET POUR VEAU DE GRAIN</t>
  </si>
  <si>
    <t>Chaque exploitant peut modifier les nombres en bleu pour refléter les données de son entreprise.</t>
  </si>
  <si>
    <t>Prévisions</t>
  </si>
  <si>
    <t>Phase 1</t>
  </si>
  <si>
    <t>Phase 2</t>
  </si>
  <si>
    <t>le taux de mortalité :</t>
  </si>
  <si>
    <t xml:space="preserve">le prix de vente des veaux : </t>
  </si>
  <si>
    <t>Taux de mortalité (%)</t>
  </si>
  <si>
    <t>Gain moyen quotidien (lb)</t>
  </si>
  <si>
    <t>Durée (jours) de la phase</t>
  </si>
  <si>
    <t>Poids (lb) en fin de phase</t>
  </si>
  <si>
    <t>Freinte prévue (% du poids vif)</t>
  </si>
  <si>
    <t>CHARGES</t>
  </si>
  <si>
    <t>Coût total des aliments</t>
  </si>
  <si>
    <t>Coût total des médicaments</t>
  </si>
  <si>
    <t xml:space="preserve"> Assurance sur les animaux</t>
  </si>
  <si>
    <t xml:space="preserve"> Travail à forfait</t>
  </si>
  <si>
    <t xml:space="preserve"> Litière</t>
  </si>
  <si>
    <t xml:space="preserve"> Autre</t>
  </si>
  <si>
    <t xml:space="preserve"> Charges variables générales</t>
  </si>
  <si>
    <t xml:space="preserve"> Carburant </t>
  </si>
  <si>
    <t xml:space="preserve"> Intérêts sur</t>
  </si>
  <si>
    <t xml:space="preserve"> fonds d'exploitation</t>
  </si>
  <si>
    <t>Total des charges variables</t>
  </si>
  <si>
    <t>Charges fixes :</t>
  </si>
  <si>
    <t xml:space="preserve"> Amortissement</t>
  </si>
  <si>
    <t xml:space="preserve"> Intérêts sur prêts à terme</t>
  </si>
  <si>
    <t xml:space="preserve"> Contrats de location à long terme</t>
  </si>
  <si>
    <t>Total des charges fixes</t>
  </si>
  <si>
    <t xml:space="preserve"> $/veau</t>
  </si>
  <si>
    <t>$/an</t>
  </si>
  <si>
    <t xml:space="preserve">    moins : Charges variables</t>
  </si>
  <si>
    <t>Marge prévue</t>
  </si>
  <si>
    <t xml:space="preserve">    moins : Charges fixes</t>
  </si>
  <si>
    <t>nécessaire pour couvrir :</t>
  </si>
  <si>
    <t>Charges</t>
  </si>
  <si>
    <t>variables</t>
  </si>
  <si>
    <t>totales</t>
  </si>
  <si>
    <t>Probabilités d'au moins</t>
  </si>
  <si>
    <t>dollar(s)/tête de rendement</t>
  </si>
  <si>
    <t>Rendement : $ par</t>
  </si>
  <si>
    <t>veau acheté</t>
  </si>
  <si>
    <t xml:space="preserve">Probabilités d'atteindre </t>
  </si>
  <si>
    <t>ce rendement/tête</t>
  </si>
  <si>
    <t>si les veaux sont achetés au prix de</t>
  </si>
  <si>
    <t xml:space="preserve">le rendement sera de </t>
  </si>
  <si>
    <t>Coefficient de variation               ==&gt;</t>
  </si>
  <si>
    <t>dollar(s)/tête</t>
  </si>
  <si>
    <t>Centre d'information agricole</t>
  </si>
  <si>
    <t xml:space="preserve">  Optimiste</t>
  </si>
  <si>
    <t xml:space="preserve"> Pessimiste</t>
  </si>
  <si>
    <t xml:space="preserve">Indicateur de risque
 - </t>
  </si>
  <si>
    <t>Risque élevé</t>
  </si>
  <si>
    <t>Risque peu élevé</t>
  </si>
  <si>
    <t>Risque moyen</t>
  </si>
  <si>
    <t>Poids moyen des veaux achetés</t>
  </si>
  <si>
    <t>Il s’agit d’un outil de budgétisation contenant un chiffrier pour le calcul du coût de production. Des champs à remplir sont prévus pour l’utilisateur. L’outil comporte 21 colonnes et 252 lignes.</t>
  </si>
  <si>
    <t>Aliments achetés :</t>
  </si>
  <si>
    <t xml:space="preserve">     |------------------------kg/tête ----------------------|</t>
  </si>
  <si>
    <t xml:space="preserve">     |------------------------  $/tête ----------------------|</t>
  </si>
  <si>
    <t>$/tonne</t>
  </si>
  <si>
    <t>Nombre de veaux présevrés achetés (têtes)</t>
  </si>
  <si>
    <t>Nombre de veaux semi-finis achetés (têtes)</t>
  </si>
  <si>
    <t>Nombre total de veaux achetés (têtes)</t>
  </si>
  <si>
    <t>Semi-finis</t>
  </si>
  <si>
    <t>Exigences relatives aux installations :</t>
  </si>
  <si>
    <t>Nombre de semaines par tour</t>
  </si>
  <si>
    <t>Capacité maximale nécessaire pour la grange (têtes)</t>
  </si>
  <si>
    <t>Deux phases</t>
  </si>
  <si>
    <t>(100-300 lb)</t>
  </si>
  <si>
    <t xml:space="preserve"> ( 301-700 lb)</t>
  </si>
  <si>
    <t xml:space="preserve"> ( 300-700 lb)</t>
  </si>
  <si>
    <t>Prix fondé sur</t>
  </si>
  <si>
    <t>Prix ($/quintal)</t>
  </si>
  <si>
    <t>Facteurs de risque</t>
  </si>
  <si>
    <t>Convertisseur de poids vif en poids en carcasse</t>
  </si>
  <si>
    <t>REVENU</t>
  </si>
  <si>
    <t>REVENU TOTAL</t>
  </si>
  <si>
    <t>Ventes de veaux</t>
  </si>
  <si>
    <t>Paiements provenant 
de programmes</t>
  </si>
  <si>
    <t xml:space="preserve"> Démarrage</t>
  </si>
  <si>
    <t xml:space="preserve"> Concentré 36 % (médicamenteux)</t>
  </si>
  <si>
    <t xml:space="preserve"> Maïs égrené</t>
  </si>
  <si>
    <t xml:space="preserve"> Aliments complets</t>
  </si>
  <si>
    <t xml:space="preserve"> Concentré 36 %</t>
  </si>
  <si>
    <t xml:space="preserve"> Lait entier</t>
  </si>
  <si>
    <t xml:space="preserve"> Aliment d'allaitement</t>
  </si>
  <si>
    <t xml:space="preserve"> Fourrage grossier (paille/foin)</t>
  </si>
  <si>
    <t>Total des aliments consommés (kg/tête)</t>
  </si>
  <si>
    <t xml:space="preserve"> Coût prévu des veaux</t>
  </si>
  <si>
    <t xml:space="preserve"> Programme de santé</t>
  </si>
  <si>
    <t>Programme de santé pour les veaux</t>
  </si>
  <si>
    <t>Taux salarial : $/heure</t>
  </si>
  <si>
    <t xml:space="preserve"> Main-d'œuvre</t>
  </si>
  <si>
    <t>Coût total de la main-d'œuvre par veau</t>
  </si>
  <si>
    <t>Entrer $/veau OU $/an</t>
  </si>
  <si>
    <t>Charges variables indirectes :</t>
  </si>
  <si>
    <t>Marketing/commissions/droits</t>
  </si>
  <si>
    <t>Transport par camion</t>
  </si>
  <si>
    <t>Prime du programme</t>
  </si>
  <si>
    <t xml:space="preserve"> Assurance (bâtiments et machinerie)</t>
  </si>
  <si>
    <t>Vendu</t>
  </si>
  <si>
    <t>Analyse des risques :</t>
  </si>
  <si>
    <r>
      <t>N</t>
    </r>
    <r>
      <rPr>
        <b/>
        <vertAlign val="superscript"/>
        <sz val="12"/>
        <color indexed="8"/>
        <rFont val="Arial"/>
        <family val="2"/>
      </rPr>
      <t>bre</t>
    </r>
    <r>
      <rPr>
        <b/>
        <sz val="12"/>
        <color indexed="8"/>
        <rFont val="Arial"/>
        <family val="2"/>
      </rPr>
      <t xml:space="preserve"> de têtes</t>
    </r>
  </si>
  <si>
    <r>
      <t>N</t>
    </r>
    <r>
      <rPr>
        <b/>
        <vertAlign val="superscript"/>
        <sz val="12"/>
        <color indexed="8"/>
        <rFont val="Arial"/>
        <family val="2"/>
      </rPr>
      <t>bre</t>
    </r>
    <r>
      <rPr>
        <b/>
        <sz val="12"/>
        <color indexed="8"/>
        <rFont val="Arial"/>
        <family val="2"/>
      </rPr>
      <t xml:space="preserve"> de lb produites</t>
    </r>
  </si>
  <si>
    <r>
      <t>N</t>
    </r>
    <r>
      <rPr>
        <b/>
        <vertAlign val="superscript"/>
        <sz val="12"/>
        <color indexed="8"/>
        <rFont val="Arial"/>
        <family val="2"/>
      </rPr>
      <t>bre</t>
    </r>
    <r>
      <rPr>
        <b/>
        <sz val="12"/>
        <color indexed="8"/>
        <rFont val="Arial"/>
        <family val="2"/>
      </rPr>
      <t xml:space="preserve"> de têtes en début de phase</t>
    </r>
  </si>
  <si>
    <t xml:space="preserve">     |--------------- heures/veau/an ----------------|</t>
  </si>
  <si>
    <t>Pour plus de renseignements :</t>
  </si>
  <si>
    <t>1 877 424-1300</t>
  </si>
  <si>
    <t>Bâtiments</t>
  </si>
  <si>
    <t>Autre</t>
  </si>
  <si>
    <t>Machinerie et matériel</t>
  </si>
  <si>
    <t>Épandeur de fumier</t>
  </si>
  <si>
    <t>$ par veau</t>
  </si>
  <si>
    <t>Huches pour les veaux</t>
  </si>
  <si>
    <t>Étable de finition</t>
  </si>
  <si>
    <t>Tracteur et chargeur</t>
  </si>
  <si>
    <t>Réparations et entretien</t>
  </si>
  <si>
    <t xml:space="preserve">
% du coût initial</t>
  </si>
  <si>
    <t>$ par an</t>
  </si>
  <si>
    <t>Ans</t>
  </si>
  <si>
    <t>Dépenses en capital</t>
  </si>
  <si>
    <t>Total des dépenses en capital</t>
  </si>
  <si>
    <t>Coûts annuels des dépenses en capital</t>
  </si>
  <si>
    <t>Assurance</t>
  </si>
  <si>
    <t>% de la valeur</t>
  </si>
  <si>
    <t>% du coût initial</t>
  </si>
  <si>
    <t>Valeur de récupération (valeur à la fin de la durée de vie utile)</t>
  </si>
  <si>
    <t>Durée de vie utile</t>
  </si>
  <si>
    <t>Taux d'intérêt sur l'investissement</t>
  </si>
  <si>
    <t>Moyenne pondérée des capitaux propres et empruntés</t>
  </si>
  <si>
    <t>Déductions pour VFO</t>
  </si>
  <si>
    <t>Poids vif</t>
  </si>
  <si>
    <t xml:space="preserve">Cet outil de calcul sert à analyser la production annuelle d'une exploitation d'élevage de veaux. Il permet de diviser la période de </t>
  </si>
  <si>
    <t>production en deux phases (présevrage et finition) ou d'indiquer les achats de veaux semi-finis, ou une combinaison des deux.</t>
  </si>
  <si>
    <t>Rendement carcasse (%)</t>
  </si>
  <si>
    <t>Valeur marchande ($/quintal)</t>
  </si>
  <si>
    <t>Prix d'achat prévu ($/quintal)</t>
  </si>
  <si>
    <t>$/quintal</t>
  </si>
  <si>
    <t>$/quintal,</t>
  </si>
  <si>
    <t>le prix d'achat des veaux ($/quintal) :</t>
  </si>
  <si>
    <t>le gain moyen quotidien (lb) :</t>
  </si>
  <si>
    <t>Charges variables directes :</t>
  </si>
  <si>
    <t>($/veau vendu)</t>
  </si>
  <si>
    <t xml:space="preserve">Marge après aliments, veaux, santé et main-d'œuvre </t>
  </si>
  <si>
    <t xml:space="preserve"> Réparation et entretien de la machinerie</t>
  </si>
  <si>
    <t xml:space="preserve"> Réparation et entretien des bâtiments</t>
  </si>
  <si>
    <t xml:space="preserve"> Location de bâtiments</t>
  </si>
  <si>
    <t>% int.</t>
  </si>
  <si>
    <t>Revenus :</t>
  </si>
  <si>
    <t>Total des revenus prévus</t>
  </si>
  <si>
    <t>Revenu net prévu</t>
  </si>
  <si>
    <t>Compte tenu des revenus et des charges qui précèdent,</t>
  </si>
  <si>
    <t>Site Web du ministère de l’Agriculture, de l'Alimentation et des Affaires rurales de l'Ontario</t>
  </si>
  <si>
    <t>Seuil de rentabilité ($/quintal)</t>
  </si>
  <si>
    <t>Probabilités d'atteindre au moins le seuil de rentabilité      ==&gt;</t>
  </si>
  <si>
    <t>Probabilités d'atteindre au moins le seuil de rentabilité :</t>
  </si>
  <si>
    <t>L'utilisation de la présente feuille de calcul relève entièrement de la responsabilité de l'utilisateur.</t>
  </si>
  <si>
    <t>Amortissement</t>
  </si>
  <si>
    <t>Poids en carcasse (lb)</t>
  </si>
  <si>
    <t>Poids en carcasse</t>
  </si>
  <si>
    <t>Prix selon le poids en carcasse ($/quintal)</t>
  </si>
  <si>
    <t>Revisé : janvier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</si>
</sst>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164" formatCode="&quot;$&quot;#,##0_);\(&quot;$&quot;#,##0\)"/>
    <numFmt numFmtId="165" formatCode="&quot;$&quot;#,##0.00_);\(&quot;$&quot;#,##0.00\)"/>
    <numFmt numFmtId="166" formatCode="_(&quot;$&quot;* #,##0.00_);_(&quot;$&quot;* \(#,##0.00\);_(&quot;$&quot;* &quot;-&quot;??_);_(@_)"/>
    <numFmt numFmtId="167" formatCode="_(* #,##0.00_);_(* \(#,##0.00\);_(* &quot;-&quot;??_);_(@_)"/>
    <numFmt numFmtId="168" formatCode=";;;"/>
    <numFmt numFmtId="169" formatCode="0_)"/>
    <numFmt numFmtId="170" formatCode="&quot;$&quot;#,##0.000_);\(&quot;$&quot;#,##0.000\)"/>
    <numFmt numFmtId="171" formatCode="0.0_)"/>
    <numFmt numFmtId="172" formatCode="0.00_)"/>
    <numFmt numFmtId="173" formatCode="&quot;$&quot;#,##0.0000_);\(&quot;$&quot;#,##0.0000\)"/>
    <numFmt numFmtId="174" formatCode="_(&quot;$&quot;* #,##0_);_(&quot;$&quot;* \(#,##0\);_(&quot;$&quot;* &quot;-&quot;??_);_(@_)"/>
    <numFmt numFmtId="175" formatCode="0.000_)"/>
    <numFmt numFmtId="176" formatCode="_(* #,##0_);_(* \(#,##0\);_(* &quot;-&quot;??_);_(@_)"/>
    <numFmt numFmtId="177" formatCode="0.0%"/>
    <numFmt numFmtId="178" formatCode="0.0"/>
    <numFmt numFmtId="179" formatCode="#,##0\ &quot;$&quot;"/>
    <numFmt numFmtId="180" formatCode="#,##0\ &quot;$&quot;;[Red]#,##0\ &quot;$&quot;"/>
    <numFmt numFmtId="181" formatCode="#,##0.00\ &quot;$&quot;;[Red]#,##0.00\ &quot;$&quot;"/>
    <numFmt numFmtId="182" formatCode="#,##0.00\ &quot;$&quot;"/>
  </numFmts>
  <fonts count="22" x14ac:knownFonts="1">
    <font>
      <sz val="10"/>
      <name val="Arial"/>
    </font>
    <font>
      <sz val="10"/>
      <name val="Arial"/>
      <family val="2"/>
    </font>
    <font>
      <u/>
      <sz val="9"/>
      <color indexed="12"/>
      <name val="Arial"/>
      <family val="2"/>
    </font>
    <font>
      <sz val="10"/>
      <name val="Courier"/>
      <family val="3"/>
    </font>
    <font>
      <b/>
      <sz val="9"/>
      <color indexed="8"/>
      <name val="Arial"/>
      <family val="2"/>
    </font>
    <font>
      <b/>
      <sz val="12"/>
      <color indexed="12"/>
      <name val="Arial"/>
      <family val="2"/>
    </font>
    <font>
      <sz val="9"/>
      <name val="Courier New"/>
      <family val="3"/>
    </font>
    <font>
      <b/>
      <sz val="12"/>
      <color indexed="8"/>
      <name val="Arial"/>
      <family val="2"/>
    </font>
    <font>
      <b/>
      <sz val="12"/>
      <color indexed="42"/>
      <name val="Arial"/>
      <family val="2"/>
    </font>
    <font>
      <sz val="12"/>
      <name val="Arial"/>
      <family val="2"/>
    </font>
    <font>
      <sz val="12"/>
      <name val="Courier"/>
      <family val="3"/>
    </font>
    <font>
      <b/>
      <sz val="12"/>
      <name val="Arial"/>
      <family val="2"/>
    </font>
    <font>
      <b/>
      <sz val="12"/>
      <name val="Courier"/>
      <family val="3"/>
    </font>
    <font>
      <u/>
      <sz val="12"/>
      <color indexed="12"/>
      <name val="Arial"/>
      <family val="2"/>
    </font>
    <font>
      <b/>
      <sz val="12"/>
      <color rgb="FFFF0000"/>
      <name val="Arial"/>
      <family val="2"/>
    </font>
    <font>
      <b/>
      <sz val="14"/>
      <name val="Arial"/>
      <family val="2"/>
    </font>
    <font>
      <b/>
      <sz val="12"/>
      <color rgb="FF0000FF"/>
      <name val="Arial"/>
      <family val="2"/>
    </font>
    <font>
      <b/>
      <sz val="12"/>
      <color indexed="81"/>
      <name val="Tahoma"/>
      <family val="2"/>
    </font>
    <font>
      <sz val="12"/>
      <color indexed="81"/>
      <name val="Tahoma"/>
      <family val="2"/>
    </font>
    <font>
      <sz val="9"/>
      <name val="Arial"/>
      <family val="2"/>
    </font>
    <font>
      <b/>
      <vertAlign val="superscript"/>
      <sz val="12"/>
      <color indexed="8"/>
      <name val="Arial"/>
      <family val="2"/>
    </font>
    <font>
      <sz val="12"/>
      <color indexed="81"/>
      <name val="Arial"/>
      <family val="2"/>
    </font>
  </fonts>
  <fills count="12">
    <fill>
      <patternFill patternType="none"/>
    </fill>
    <fill>
      <patternFill patternType="gray125"/>
    </fill>
    <fill>
      <patternFill patternType="solid">
        <fgColor indexed="42"/>
        <bgColor indexed="64"/>
      </patternFill>
    </fill>
    <fill>
      <patternFill patternType="solid">
        <fgColor indexed="9"/>
        <bgColor indexed="42"/>
      </patternFill>
    </fill>
    <fill>
      <patternFill patternType="solid">
        <fgColor indexed="42"/>
        <bgColor indexed="42"/>
      </patternFill>
    </fill>
    <fill>
      <patternFill patternType="solid">
        <fgColor indexed="22"/>
        <bgColor indexed="64"/>
      </patternFill>
    </fill>
    <fill>
      <patternFill patternType="solid">
        <fgColor indexed="22"/>
        <bgColor indexed="42"/>
      </patternFill>
    </fill>
    <fill>
      <patternFill patternType="solid">
        <fgColor indexed="9"/>
        <bgColor indexed="64"/>
      </patternFill>
    </fill>
    <fill>
      <patternFill patternType="solid">
        <fgColor rgb="FFCCFFCC"/>
        <bgColor indexed="42"/>
      </patternFill>
    </fill>
    <fill>
      <patternFill patternType="solid">
        <fgColor rgb="FFCCFFCC"/>
        <bgColor indexed="64"/>
      </patternFill>
    </fill>
    <fill>
      <patternFill patternType="solid">
        <fgColor theme="0"/>
        <bgColor indexed="42"/>
      </patternFill>
    </fill>
    <fill>
      <patternFill patternType="solid">
        <fgColor theme="1"/>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9">
    <xf numFmtId="0" fontId="0" fillId="0" borderId="0"/>
    <xf numFmtId="167" fontId="1" fillId="0" borderId="0" applyFont="0" applyFill="0" applyBorder="0" applyAlignment="0" applyProtection="0"/>
    <xf numFmtId="166"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3" fillId="0" borderId="0"/>
    <xf numFmtId="0" fontId="3" fillId="0" borderId="0"/>
    <xf numFmtId="9" fontId="1" fillId="0" borderId="0" applyFont="0" applyFill="0" applyBorder="0" applyAlignment="0" applyProtection="0"/>
    <xf numFmtId="0" fontId="3" fillId="0" borderId="0"/>
  </cellStyleXfs>
  <cellXfs count="300">
    <xf numFmtId="0" fontId="0" fillId="0" borderId="0" xfId="0"/>
    <xf numFmtId="0" fontId="4" fillId="0" borderId="0" xfId="6" applyFont="1"/>
    <xf numFmtId="0" fontId="3" fillId="0" borderId="0" xfId="6"/>
    <xf numFmtId="169" fontId="3" fillId="0" borderId="0" xfId="6" applyNumberFormat="1"/>
    <xf numFmtId="0" fontId="3" fillId="0" borderId="0" xfId="6" applyFont="1"/>
    <xf numFmtId="174" fontId="5" fillId="2" borderId="1" xfId="4" applyNumberFormat="1" applyFont="1" applyFill="1" applyBorder="1"/>
    <xf numFmtId="172" fontId="3" fillId="0" borderId="0" xfId="6" applyNumberFormat="1"/>
    <xf numFmtId="0" fontId="4" fillId="0" borderId="0" xfId="6" applyFont="1" applyAlignment="1" applyProtection="1">
      <alignment horizontal="center"/>
    </xf>
    <xf numFmtId="168" fontId="3" fillId="0" borderId="0" xfId="6" applyNumberFormat="1"/>
    <xf numFmtId="168" fontId="4" fillId="0" borderId="0" xfId="6" applyNumberFormat="1" applyFont="1" applyProtection="1"/>
    <xf numFmtId="168" fontId="4" fillId="0" borderId="0" xfId="6" applyNumberFormat="1" applyFont="1" applyAlignment="1" applyProtection="1">
      <alignment horizontal="center"/>
    </xf>
    <xf numFmtId="169" fontId="4" fillId="0" borderId="0" xfId="6" applyNumberFormat="1" applyFont="1" applyProtection="1"/>
    <xf numFmtId="168" fontId="4" fillId="0" borderId="0" xfId="6" applyNumberFormat="1" applyFont="1" applyAlignment="1" applyProtection="1">
      <alignment horizontal="left"/>
    </xf>
    <xf numFmtId="172" fontId="4" fillId="0" borderId="0" xfId="6" applyNumberFormat="1" applyFont="1" applyProtection="1"/>
    <xf numFmtId="0" fontId="4" fillId="3" borderId="0" xfId="6" applyFont="1" applyFill="1" applyBorder="1"/>
    <xf numFmtId="172" fontId="4" fillId="3" borderId="0" xfId="6" applyNumberFormat="1" applyFont="1" applyFill="1" applyBorder="1" applyProtection="1"/>
    <xf numFmtId="169" fontId="4" fillId="3" borderId="0" xfId="6" applyNumberFormat="1" applyFont="1" applyFill="1" applyBorder="1" applyProtection="1"/>
    <xf numFmtId="0" fontId="4" fillId="3" borderId="0" xfId="6" applyFont="1" applyFill="1" applyBorder="1" applyProtection="1"/>
    <xf numFmtId="168" fontId="4" fillId="3" borderId="0" xfId="6" applyNumberFormat="1" applyFont="1" applyFill="1" applyBorder="1" applyProtection="1"/>
    <xf numFmtId="10" fontId="4" fillId="3" borderId="0" xfId="6" applyNumberFormat="1" applyFont="1" applyFill="1" applyBorder="1" applyProtection="1"/>
    <xf numFmtId="0" fontId="6" fillId="0" borderId="0" xfId="6" applyFont="1"/>
    <xf numFmtId="9" fontId="3" fillId="0" borderId="0" xfId="7" applyFont="1"/>
    <xf numFmtId="166" fontId="3" fillId="0" borderId="0" xfId="2" applyFont="1"/>
    <xf numFmtId="1" fontId="3" fillId="0" borderId="0" xfId="6" applyNumberFormat="1"/>
    <xf numFmtId="2" fontId="4" fillId="0" borderId="0" xfId="6" applyNumberFormat="1" applyFont="1" applyAlignment="1" applyProtection="1">
      <alignment horizontal="center"/>
    </xf>
    <xf numFmtId="2" fontId="4" fillId="0" borderId="0" xfId="6" applyNumberFormat="1" applyFont="1"/>
    <xf numFmtId="2" fontId="4" fillId="0" borderId="0" xfId="6" applyNumberFormat="1" applyFont="1" applyProtection="1"/>
    <xf numFmtId="2" fontId="4" fillId="0" borderId="0" xfId="6" applyNumberFormat="1" applyFont="1" applyAlignment="1" applyProtection="1">
      <alignment horizontal="left"/>
    </xf>
    <xf numFmtId="2" fontId="6" fillId="0" borderId="0" xfId="6" applyNumberFormat="1" applyFont="1"/>
    <xf numFmtId="2" fontId="3" fillId="0" borderId="0" xfId="6" applyNumberFormat="1"/>
    <xf numFmtId="2" fontId="3" fillId="0" borderId="0" xfId="6" applyNumberFormat="1" applyFont="1"/>
    <xf numFmtId="0" fontId="7" fillId="4" borderId="1" xfId="6" applyFont="1" applyFill="1" applyBorder="1" applyAlignment="1" applyProtection="1">
      <alignment horizontal="left"/>
    </xf>
    <xf numFmtId="0" fontId="7" fillId="4" borderId="2" xfId="6" applyFont="1" applyFill="1" applyBorder="1"/>
    <xf numFmtId="0" fontId="7" fillId="4" borderId="2" xfId="6" applyFont="1" applyFill="1" applyBorder="1" applyAlignment="1" applyProtection="1">
      <alignment horizontal="left"/>
    </xf>
    <xf numFmtId="0" fontId="7" fillId="4" borderId="3" xfId="6" applyFont="1" applyFill="1" applyBorder="1"/>
    <xf numFmtId="168" fontId="7" fillId="4" borderId="4" xfId="6" applyNumberFormat="1" applyFont="1" applyFill="1" applyBorder="1" applyProtection="1"/>
    <xf numFmtId="0" fontId="7" fillId="4" borderId="0" xfId="6" applyFont="1" applyFill="1" applyBorder="1"/>
    <xf numFmtId="0" fontId="7" fillId="4" borderId="0" xfId="6" applyFont="1" applyFill="1" applyBorder="1" applyAlignment="1" applyProtection="1">
      <alignment horizontal="left"/>
    </xf>
    <xf numFmtId="165" fontId="7" fillId="4" borderId="0" xfId="6" applyNumberFormat="1" applyFont="1" applyFill="1" applyBorder="1" applyProtection="1"/>
    <xf numFmtId="164" fontId="7" fillId="4" borderId="5" xfId="6" applyNumberFormat="1" applyFont="1" applyFill="1" applyBorder="1" applyAlignment="1" applyProtection="1">
      <alignment horizontal="center"/>
    </xf>
    <xf numFmtId="0" fontId="7" fillId="4" borderId="4" xfId="6" applyFont="1" applyFill="1" applyBorder="1" applyAlignment="1" applyProtection="1">
      <alignment horizontal="left"/>
    </xf>
    <xf numFmtId="168" fontId="7" fillId="4" borderId="0" xfId="6" applyNumberFormat="1" applyFont="1" applyFill="1" applyBorder="1" applyAlignment="1" applyProtection="1">
      <alignment horizontal="left"/>
    </xf>
    <xf numFmtId="0" fontId="7" fillId="4" borderId="5" xfId="6" applyFont="1" applyFill="1" applyBorder="1"/>
    <xf numFmtId="0" fontId="7" fillId="4" borderId="0" xfId="6" applyFont="1" applyFill="1" applyBorder="1" applyProtection="1"/>
    <xf numFmtId="168" fontId="7" fillId="4" borderId="0" xfId="6" applyNumberFormat="1" applyFont="1" applyFill="1" applyBorder="1" applyProtection="1"/>
    <xf numFmtId="168" fontId="7" fillId="4" borderId="5" xfId="6" applyNumberFormat="1" applyFont="1" applyFill="1" applyBorder="1" applyProtection="1"/>
    <xf numFmtId="171" fontId="7" fillId="4" borderId="0" xfId="6" applyNumberFormat="1" applyFont="1" applyFill="1" applyBorder="1" applyProtection="1"/>
    <xf numFmtId="37" fontId="7" fillId="4" borderId="0" xfId="6" applyNumberFormat="1" applyFont="1" applyFill="1" applyBorder="1" applyProtection="1"/>
    <xf numFmtId="169" fontId="7" fillId="4" borderId="5" xfId="6" applyNumberFormat="1" applyFont="1" applyFill="1" applyBorder="1" applyProtection="1"/>
    <xf numFmtId="169" fontId="7" fillId="4" borderId="0" xfId="6" applyNumberFormat="1" applyFont="1" applyFill="1" applyBorder="1" applyProtection="1"/>
    <xf numFmtId="172" fontId="7" fillId="4" borderId="0" xfId="6" applyNumberFormat="1" applyFont="1" applyFill="1" applyBorder="1" applyProtection="1"/>
    <xf numFmtId="171" fontId="7" fillId="4" borderId="5" xfId="6" applyNumberFormat="1" applyFont="1" applyFill="1" applyBorder="1" applyProtection="1"/>
    <xf numFmtId="0" fontId="7" fillId="4" borderId="4" xfId="6" quotePrefix="1" applyFont="1" applyFill="1" applyBorder="1" applyAlignment="1" applyProtection="1">
      <alignment horizontal="left"/>
    </xf>
    <xf numFmtId="0" fontId="7" fillId="3" borderId="6" xfId="6" applyFont="1" applyFill="1" applyBorder="1" applyAlignment="1" applyProtection="1">
      <alignment horizontal="fill"/>
    </xf>
    <xf numFmtId="0" fontId="7" fillId="4" borderId="2" xfId="6" applyFont="1" applyFill="1" applyBorder="1" applyAlignment="1" applyProtection="1">
      <alignment horizontal="fill"/>
    </xf>
    <xf numFmtId="0" fontId="7" fillId="4" borderId="3" xfId="6" applyFont="1" applyFill="1" applyBorder="1" applyAlignment="1" applyProtection="1">
      <alignment horizontal="fill"/>
    </xf>
    <xf numFmtId="0" fontId="7" fillId="4" borderId="4" xfId="6" applyFont="1" applyFill="1" applyBorder="1" applyProtection="1"/>
    <xf numFmtId="170" fontId="7" fillId="4" borderId="0" xfId="6" applyNumberFormat="1" applyFont="1" applyFill="1" applyBorder="1" applyProtection="1"/>
    <xf numFmtId="0" fontId="5" fillId="5" borderId="7" xfId="6" applyFont="1" applyFill="1" applyBorder="1" applyAlignment="1" applyProtection="1">
      <alignment horizontal="center"/>
      <protection locked="0"/>
    </xf>
    <xf numFmtId="0" fontId="7" fillId="4" borderId="0" xfId="6" applyFont="1" applyFill="1" applyBorder="1" applyAlignment="1" applyProtection="1">
      <alignment horizontal="center"/>
    </xf>
    <xf numFmtId="0" fontId="7" fillId="4" borderId="5" xfId="6" applyFont="1" applyFill="1" applyBorder="1" applyProtection="1"/>
    <xf numFmtId="0" fontId="7" fillId="4" borderId="0" xfId="6" applyFont="1" applyFill="1" applyBorder="1" applyAlignment="1">
      <alignment horizontal="center"/>
    </xf>
    <xf numFmtId="169" fontId="7" fillId="4" borderId="0" xfId="6" applyNumberFormat="1" applyFont="1" applyFill="1" applyBorder="1" applyAlignment="1" applyProtection="1">
      <alignment horizontal="center"/>
    </xf>
    <xf numFmtId="172" fontId="7" fillId="4" borderId="5" xfId="6" applyNumberFormat="1" applyFont="1" applyFill="1" applyBorder="1" applyProtection="1"/>
    <xf numFmtId="49" fontId="5" fillId="6" borderId="7" xfId="6" quotePrefix="1" applyNumberFormat="1" applyFont="1" applyFill="1" applyBorder="1" applyAlignment="1" applyProtection="1">
      <alignment horizontal="center"/>
      <protection locked="0"/>
    </xf>
    <xf numFmtId="0" fontId="5" fillId="6" borderId="7" xfId="6" quotePrefix="1" applyFont="1" applyFill="1" applyBorder="1" applyAlignment="1" applyProtection="1">
      <alignment horizontal="center"/>
      <protection locked="0"/>
    </xf>
    <xf numFmtId="0" fontId="7" fillId="4" borderId="4" xfId="6" applyFont="1" applyFill="1" applyBorder="1" applyAlignment="1" applyProtection="1">
      <alignment horizontal="fill"/>
    </xf>
    <xf numFmtId="173" fontId="7" fillId="4" borderId="0" xfId="6" applyNumberFormat="1" applyFont="1" applyFill="1" applyBorder="1" applyProtection="1"/>
    <xf numFmtId="0" fontId="7" fillId="4" borderId="0" xfId="6" applyFont="1" applyFill="1" applyBorder="1" applyAlignment="1" applyProtection="1">
      <alignment horizontal="fill"/>
    </xf>
    <xf numFmtId="172" fontId="5" fillId="5" borderId="7" xfId="6" applyNumberFormat="1" applyFont="1" applyFill="1" applyBorder="1" applyAlignment="1" applyProtection="1">
      <alignment horizontal="center"/>
      <protection locked="0"/>
    </xf>
    <xf numFmtId="175" fontId="7" fillId="4" borderId="0" xfId="6" applyNumberFormat="1" applyFont="1" applyFill="1" applyBorder="1" applyProtection="1"/>
    <xf numFmtId="169" fontId="7" fillId="4" borderId="0" xfId="6" quotePrefix="1" applyNumberFormat="1" applyFont="1" applyFill="1" applyBorder="1" applyAlignment="1" applyProtection="1">
      <alignment horizontal="center"/>
    </xf>
    <xf numFmtId="169" fontId="7" fillId="4" borderId="5" xfId="6" applyNumberFormat="1" applyFont="1" applyFill="1" applyBorder="1" applyAlignment="1" applyProtection="1">
      <alignment horizontal="center"/>
    </xf>
    <xf numFmtId="0" fontId="7" fillId="3" borderId="9" xfId="6" applyFont="1" applyFill="1" applyBorder="1" applyAlignment="1" applyProtection="1">
      <alignment horizontal="left"/>
    </xf>
    <xf numFmtId="0" fontId="7" fillId="3" borderId="6" xfId="6" applyFont="1" applyFill="1" applyBorder="1"/>
    <xf numFmtId="0" fontId="5" fillId="7" borderId="6" xfId="6" applyFont="1" applyFill="1" applyBorder="1" applyAlignment="1" applyProtection="1">
      <alignment horizontal="center"/>
      <protection locked="0"/>
    </xf>
    <xf numFmtId="0" fontId="7" fillId="3" borderId="6" xfId="6" applyFont="1" applyFill="1" applyBorder="1" applyAlignment="1" applyProtection="1">
      <alignment horizontal="left"/>
    </xf>
    <xf numFmtId="169" fontId="7" fillId="3" borderId="10" xfId="6" applyNumberFormat="1" applyFont="1" applyFill="1" applyBorder="1" applyAlignment="1" applyProtection="1">
      <alignment horizontal="center"/>
    </xf>
    <xf numFmtId="172" fontId="7" fillId="4" borderId="0" xfId="6" applyNumberFormat="1" applyFont="1" applyFill="1" applyBorder="1" applyAlignment="1" applyProtection="1">
      <alignment horizontal="center"/>
    </xf>
    <xf numFmtId="0" fontId="7" fillId="8" borderId="0" xfId="6" applyFont="1" applyFill="1" applyBorder="1" applyAlignment="1" applyProtection="1"/>
    <xf numFmtId="37" fontId="7" fillId="4" borderId="5" xfId="6" applyNumberFormat="1" applyFont="1" applyFill="1" applyBorder="1" applyAlignment="1" applyProtection="1">
      <alignment horizontal="center"/>
    </xf>
    <xf numFmtId="0" fontId="7" fillId="4" borderId="5" xfId="6" applyFont="1" applyFill="1" applyBorder="1" applyAlignment="1" applyProtection="1">
      <alignment horizontal="center"/>
    </xf>
    <xf numFmtId="0" fontId="5" fillId="2" borderId="0" xfId="6" applyFont="1" applyFill="1" applyBorder="1" applyAlignment="1" applyProtection="1">
      <alignment horizontal="left"/>
      <protection locked="0"/>
    </xf>
    <xf numFmtId="168" fontId="8" fillId="4" borderId="4" xfId="6" applyNumberFormat="1" applyFont="1" applyFill="1" applyBorder="1" applyAlignment="1" applyProtection="1">
      <alignment horizontal="left"/>
      <protection hidden="1"/>
    </xf>
    <xf numFmtId="168" fontId="8" fillId="4" borderId="0" xfId="6" applyNumberFormat="1" applyFont="1" applyFill="1" applyBorder="1" applyProtection="1">
      <protection hidden="1"/>
    </xf>
    <xf numFmtId="168" fontId="8" fillId="4" borderId="0" xfId="6" applyNumberFormat="1" applyFont="1" applyFill="1" applyBorder="1" applyAlignment="1" applyProtection="1">
      <alignment horizontal="center"/>
      <protection hidden="1"/>
    </xf>
    <xf numFmtId="168" fontId="7" fillId="4" borderId="4" xfId="6" applyNumberFormat="1" applyFont="1" applyFill="1" applyBorder="1" applyProtection="1">
      <protection hidden="1"/>
    </xf>
    <xf numFmtId="168" fontId="7" fillId="4" borderId="0" xfId="6" applyNumberFormat="1" applyFont="1" applyFill="1" applyBorder="1" applyProtection="1">
      <protection hidden="1"/>
    </xf>
    <xf numFmtId="168" fontId="7" fillId="4" borderId="5" xfId="6" applyNumberFormat="1" applyFont="1" applyFill="1" applyBorder="1" applyProtection="1">
      <protection hidden="1"/>
    </xf>
    <xf numFmtId="0" fontId="9" fillId="9" borderId="0" xfId="0" applyFont="1" applyFill="1" applyAlignment="1"/>
    <xf numFmtId="168" fontId="8" fillId="4" borderId="0" xfId="6" applyNumberFormat="1" applyFont="1" applyFill="1" applyBorder="1" applyAlignment="1" applyProtection="1">
      <alignment horizontal="left"/>
    </xf>
    <xf numFmtId="0" fontId="7" fillId="4" borderId="4" xfId="6" applyFont="1" applyFill="1" applyBorder="1"/>
    <xf numFmtId="172" fontId="7" fillId="4" borderId="0" xfId="6" applyNumberFormat="1" applyFont="1" applyFill="1" applyBorder="1" applyAlignment="1" applyProtection="1">
      <alignment horizontal="right"/>
    </xf>
    <xf numFmtId="0" fontId="7" fillId="4" borderId="0" xfId="6" quotePrefix="1" applyFont="1" applyFill="1" applyBorder="1" applyAlignment="1" applyProtection="1"/>
    <xf numFmtId="0" fontId="5" fillId="2" borderId="4" xfId="6" applyFont="1" applyFill="1" applyBorder="1" applyAlignment="1" applyProtection="1">
      <alignment horizontal="left"/>
      <protection locked="0"/>
    </xf>
    <xf numFmtId="172" fontId="5" fillId="6" borderId="7" xfId="6" applyNumberFormat="1" applyFont="1" applyFill="1" applyBorder="1" applyAlignment="1" applyProtection="1">
      <alignment horizontal="center"/>
      <protection locked="0"/>
    </xf>
    <xf numFmtId="0" fontId="5" fillId="2" borderId="4" xfId="6" quotePrefix="1" applyFont="1" applyFill="1" applyBorder="1" applyAlignment="1" applyProtection="1">
      <alignment horizontal="left"/>
      <protection locked="0"/>
    </xf>
    <xf numFmtId="172" fontId="7" fillId="4" borderId="5" xfId="6" applyNumberFormat="1" applyFont="1" applyFill="1" applyBorder="1" applyAlignment="1" applyProtection="1">
      <alignment horizontal="center"/>
    </xf>
    <xf numFmtId="0" fontId="7" fillId="4" borderId="4" xfId="6" applyFont="1" applyFill="1" applyBorder="1" applyProtection="1">
      <protection hidden="1"/>
    </xf>
    <xf numFmtId="0" fontId="7" fillId="4" borderId="0" xfId="6" applyFont="1" applyFill="1" applyBorder="1" applyProtection="1">
      <protection hidden="1"/>
    </xf>
    <xf numFmtId="172" fontId="7" fillId="4" borderId="0" xfId="6" applyNumberFormat="1" applyFont="1" applyFill="1" applyBorder="1" applyProtection="1">
      <protection hidden="1"/>
    </xf>
    <xf numFmtId="169" fontId="7" fillId="4" borderId="0" xfId="6" applyNumberFormat="1" applyFont="1" applyFill="1" applyBorder="1" applyProtection="1">
      <protection hidden="1"/>
    </xf>
    <xf numFmtId="169" fontId="7" fillId="4" borderId="5" xfId="6" applyNumberFormat="1" applyFont="1" applyFill="1" applyBorder="1" applyProtection="1">
      <protection hidden="1"/>
    </xf>
    <xf numFmtId="168" fontId="8" fillId="2" borderId="5" xfId="6" applyNumberFormat="1" applyFont="1" applyFill="1" applyBorder="1" applyAlignment="1" applyProtection="1">
      <alignment horizontal="center"/>
      <protection hidden="1"/>
    </xf>
    <xf numFmtId="168" fontId="8" fillId="4" borderId="5" xfId="6" applyNumberFormat="1" applyFont="1" applyFill="1" applyBorder="1" applyProtection="1">
      <protection hidden="1"/>
    </xf>
    <xf numFmtId="3" fontId="5" fillId="5" borderId="7" xfId="1" applyNumberFormat="1" applyFont="1" applyFill="1" applyBorder="1" applyAlignment="1" applyProtection="1">
      <alignment horizontal="right"/>
      <protection locked="0"/>
    </xf>
    <xf numFmtId="0" fontId="10" fillId="2" borderId="0" xfId="6" applyFont="1" applyFill="1"/>
    <xf numFmtId="3" fontId="5" fillId="6" borderId="7" xfId="1" applyNumberFormat="1" applyFont="1" applyFill="1" applyBorder="1" applyProtection="1">
      <protection locked="0"/>
    </xf>
    <xf numFmtId="176" fontId="5" fillId="6" borderId="7" xfId="1" applyNumberFormat="1" applyFont="1" applyFill="1" applyBorder="1" applyProtection="1">
      <protection locked="0"/>
    </xf>
    <xf numFmtId="9" fontId="7" fillId="4" borderId="0" xfId="6" applyNumberFormat="1" applyFont="1" applyFill="1" applyBorder="1" applyProtection="1"/>
    <xf numFmtId="169" fontId="7" fillId="4" borderId="2" xfId="6" applyNumberFormat="1" applyFont="1" applyFill="1" applyBorder="1" applyProtection="1"/>
    <xf numFmtId="172" fontId="7" fillId="4" borderId="2" xfId="6" applyNumberFormat="1" applyFont="1" applyFill="1" applyBorder="1" applyProtection="1"/>
    <xf numFmtId="172" fontId="7" fillId="4" borderId="3" xfId="6" applyNumberFormat="1" applyFont="1" applyFill="1" applyBorder="1" applyProtection="1"/>
    <xf numFmtId="9" fontId="7" fillId="4" borderId="0" xfId="6" applyNumberFormat="1" applyFont="1" applyFill="1" applyBorder="1" applyAlignment="1" applyProtection="1">
      <alignment horizontal="center"/>
    </xf>
    <xf numFmtId="168" fontId="7" fillId="4" borderId="5" xfId="6" applyNumberFormat="1" applyFont="1" applyFill="1" applyBorder="1" applyAlignment="1" applyProtection="1">
      <alignment horizontal="center"/>
    </xf>
    <xf numFmtId="168" fontId="7" fillId="4" borderId="5" xfId="6" applyNumberFormat="1" applyFont="1" applyFill="1" applyBorder="1" applyAlignment="1" applyProtection="1">
      <alignment horizontal="left"/>
    </xf>
    <xf numFmtId="172" fontId="7" fillId="4" borderId="4" xfId="6" applyNumberFormat="1" applyFont="1" applyFill="1" applyBorder="1" applyProtection="1"/>
    <xf numFmtId="0" fontId="5" fillId="2" borderId="0" xfId="6" applyFont="1" applyFill="1" applyBorder="1" applyAlignment="1" applyProtection="1">
      <alignment horizontal="center"/>
      <protection locked="0"/>
    </xf>
    <xf numFmtId="0" fontId="11" fillId="2" borderId="4" xfId="6" quotePrefix="1" applyFont="1" applyFill="1" applyBorder="1" applyAlignment="1">
      <alignment horizontal="left"/>
    </xf>
    <xf numFmtId="0" fontId="12" fillId="2" borderId="0" xfId="6" applyFont="1" applyFill="1" applyBorder="1"/>
    <xf numFmtId="0" fontId="10" fillId="2" borderId="0" xfId="6" applyFont="1" applyFill="1" applyBorder="1"/>
    <xf numFmtId="0" fontId="10" fillId="2" borderId="5" xfId="6" applyFont="1" applyFill="1" applyBorder="1"/>
    <xf numFmtId="0" fontId="11" fillId="2" borderId="4" xfId="6" applyFont="1" applyFill="1" applyBorder="1"/>
    <xf numFmtId="0" fontId="12" fillId="2" borderId="4" xfId="6" applyFont="1" applyFill="1" applyBorder="1"/>
    <xf numFmtId="0" fontId="7" fillId="4" borderId="4" xfId="6" applyFont="1" applyFill="1" applyBorder="1" applyAlignment="1" applyProtection="1"/>
    <xf numFmtId="0" fontId="7" fillId="4" borderId="5" xfId="6" applyFont="1" applyFill="1" applyBorder="1" applyAlignment="1" applyProtection="1">
      <alignment horizontal="fill"/>
    </xf>
    <xf numFmtId="0" fontId="11" fillId="0" borderId="0" xfId="5" applyFont="1"/>
    <xf numFmtId="172" fontId="7" fillId="0" borderId="4" xfId="6" quotePrefix="1" applyNumberFormat="1" applyFont="1" applyFill="1" applyBorder="1" applyAlignment="1" applyProtection="1">
      <alignment horizontal="centerContinuous"/>
    </xf>
    <xf numFmtId="169" fontId="7" fillId="0" borderId="0" xfId="6" applyNumberFormat="1" applyFont="1" applyFill="1" applyBorder="1" applyAlignment="1" applyProtection="1">
      <alignment horizontal="centerContinuous"/>
    </xf>
    <xf numFmtId="0" fontId="7" fillId="0" borderId="0" xfId="6" applyFont="1" applyFill="1" applyBorder="1" applyAlignment="1" applyProtection="1">
      <alignment horizontal="centerContinuous"/>
    </xf>
    <xf numFmtId="0" fontId="7" fillId="0" borderId="0" xfId="6" applyFont="1" applyFill="1" applyBorder="1" applyAlignment="1">
      <alignment horizontal="centerContinuous"/>
    </xf>
    <xf numFmtId="168" fontId="7" fillId="0" borderId="0" xfId="6" applyNumberFormat="1" applyFont="1" applyFill="1" applyBorder="1" applyAlignment="1" applyProtection="1">
      <alignment horizontal="centerContinuous"/>
    </xf>
    <xf numFmtId="168" fontId="7" fillId="0" borderId="5" xfId="6" applyNumberFormat="1" applyFont="1" applyFill="1" applyBorder="1" applyAlignment="1" applyProtection="1">
      <alignment horizontal="centerContinuous"/>
    </xf>
    <xf numFmtId="172" fontId="13" fillId="0" borderId="4" xfId="3" applyNumberFormat="1" applyFont="1" applyFill="1" applyBorder="1" applyAlignment="1" applyProtection="1">
      <alignment horizontal="centerContinuous"/>
    </xf>
    <xf numFmtId="169" fontId="7" fillId="0" borderId="12" xfId="6" applyNumberFormat="1" applyFont="1" applyFill="1" applyBorder="1" applyAlignment="1" applyProtection="1">
      <alignment horizontal="centerContinuous"/>
    </xf>
    <xf numFmtId="0" fontId="7" fillId="0" borderId="12" xfId="6" applyFont="1" applyFill="1" applyBorder="1" applyAlignment="1">
      <alignment horizontal="centerContinuous"/>
    </xf>
    <xf numFmtId="0" fontId="7" fillId="0" borderId="12" xfId="6" applyFont="1" applyFill="1" applyBorder="1" applyAlignment="1" applyProtection="1">
      <alignment horizontal="centerContinuous"/>
    </xf>
    <xf numFmtId="168" fontId="7" fillId="0" borderId="12" xfId="6" applyNumberFormat="1" applyFont="1" applyFill="1" applyBorder="1" applyAlignment="1" applyProtection="1">
      <alignment horizontal="centerContinuous"/>
    </xf>
    <xf numFmtId="168" fontId="7" fillId="0" borderId="13" xfId="6" applyNumberFormat="1" applyFont="1" applyFill="1" applyBorder="1" applyAlignment="1" applyProtection="1">
      <alignment horizontal="centerContinuous"/>
    </xf>
    <xf numFmtId="0" fontId="14" fillId="5" borderId="7" xfId="6" applyFont="1" applyFill="1" applyBorder="1" applyAlignment="1" applyProtection="1">
      <alignment horizontal="center"/>
      <protection locked="0"/>
    </xf>
    <xf numFmtId="0" fontId="15" fillId="9" borderId="1" xfId="0" applyFont="1" applyFill="1" applyBorder="1"/>
    <xf numFmtId="0" fontId="15" fillId="9" borderId="2" xfId="0" applyFont="1" applyFill="1" applyBorder="1"/>
    <xf numFmtId="0" fontId="9" fillId="9" borderId="5" xfId="0" applyFont="1" applyFill="1" applyBorder="1"/>
    <xf numFmtId="0" fontId="9" fillId="0" borderId="0" xfId="0" applyFont="1"/>
    <xf numFmtId="0" fontId="9" fillId="9" borderId="4" xfId="0" applyFont="1" applyFill="1" applyBorder="1"/>
    <xf numFmtId="0" fontId="9" fillId="9" borderId="0" xfId="0" applyFont="1" applyFill="1" applyBorder="1"/>
    <xf numFmtId="0" fontId="11" fillId="9" borderId="4" xfId="0" applyFont="1" applyFill="1" applyBorder="1"/>
    <xf numFmtId="0" fontId="11" fillId="9" borderId="0" xfId="0" applyFont="1" applyFill="1" applyBorder="1"/>
    <xf numFmtId="0" fontId="16" fillId="9" borderId="4" xfId="0" applyFont="1" applyFill="1" applyBorder="1" applyAlignment="1">
      <alignment horizontal="left" indent="2"/>
    </xf>
    <xf numFmtId="0" fontId="9" fillId="9" borderId="0" xfId="0" applyFont="1" applyFill="1" applyBorder="1" applyAlignment="1">
      <alignment horizontal="left" indent="2"/>
    </xf>
    <xf numFmtId="6" fontId="16" fillId="9" borderId="0" xfId="0" applyNumberFormat="1" applyFont="1" applyFill="1" applyBorder="1"/>
    <xf numFmtId="0" fontId="9" fillId="9" borderId="4" xfId="0" applyFont="1" applyFill="1" applyBorder="1" applyAlignment="1">
      <alignment horizontal="left" indent="2"/>
    </xf>
    <xf numFmtId="6" fontId="11" fillId="9" borderId="0" xfId="0" applyNumberFormat="1" applyFont="1" applyFill="1" applyBorder="1" applyAlignment="1">
      <alignment horizontal="center"/>
    </xf>
    <xf numFmtId="0" fontId="11" fillId="9" borderId="5" xfId="0" applyFont="1" applyFill="1" applyBorder="1" applyAlignment="1">
      <alignment horizontal="center"/>
    </xf>
    <xf numFmtId="0" fontId="11" fillId="0" borderId="0" xfId="0" applyFont="1"/>
    <xf numFmtId="0" fontId="11" fillId="9" borderId="14" xfId="0" applyFont="1" applyFill="1" applyBorder="1"/>
    <xf numFmtId="0" fontId="11" fillId="9" borderId="15" xfId="0" applyFont="1" applyFill="1" applyBorder="1"/>
    <xf numFmtId="0" fontId="9" fillId="9" borderId="15" xfId="0" applyFont="1" applyFill="1" applyBorder="1"/>
    <xf numFmtId="0" fontId="11" fillId="9" borderId="0" xfId="0" applyFont="1" applyFill="1" applyBorder="1" applyAlignment="1">
      <alignment horizontal="center" wrapText="1"/>
    </xf>
    <xf numFmtId="0" fontId="11" fillId="9" borderId="0" xfId="0" applyFont="1" applyFill="1" applyBorder="1" applyAlignment="1">
      <alignment horizontal="center"/>
    </xf>
    <xf numFmtId="177" fontId="16" fillId="9" borderId="0" xfId="0" applyNumberFormat="1" applyFont="1" applyFill="1" applyBorder="1" applyAlignment="1">
      <alignment horizontal="center"/>
    </xf>
    <xf numFmtId="0" fontId="9" fillId="9" borderId="0" xfId="0" applyFont="1" applyFill="1" applyBorder="1" applyAlignment="1">
      <alignment horizontal="center"/>
    </xf>
    <xf numFmtId="0" fontId="11" fillId="9" borderId="5" xfId="0" applyFont="1" applyFill="1" applyBorder="1"/>
    <xf numFmtId="0" fontId="16" fillId="9" borderId="0" xfId="0" applyFont="1" applyFill="1" applyBorder="1" applyAlignment="1">
      <alignment horizontal="center"/>
    </xf>
    <xf numFmtId="10" fontId="16" fillId="9" borderId="0" xfId="7" applyNumberFormat="1" applyFont="1" applyFill="1" applyBorder="1" applyAlignment="1">
      <alignment horizontal="center"/>
    </xf>
    <xf numFmtId="0" fontId="9" fillId="9" borderId="11" xfId="0" applyFont="1" applyFill="1" applyBorder="1"/>
    <xf numFmtId="10" fontId="16" fillId="9" borderId="12" xfId="0" applyNumberFormat="1" applyFont="1" applyFill="1" applyBorder="1" applyAlignment="1">
      <alignment horizontal="center"/>
    </xf>
    <xf numFmtId="0" fontId="9" fillId="9" borderId="16" xfId="0" applyFont="1" applyFill="1" applyBorder="1"/>
    <xf numFmtId="0" fontId="5" fillId="5" borderId="7" xfId="0" applyFont="1" applyFill="1" applyBorder="1" applyAlignment="1" applyProtection="1">
      <alignment horizontal="center"/>
      <protection locked="0"/>
    </xf>
    <xf numFmtId="0" fontId="11" fillId="2" borderId="12" xfId="0" applyFont="1" applyFill="1" applyBorder="1" applyAlignment="1" applyProtection="1">
      <alignment horizontal="center"/>
    </xf>
    <xf numFmtId="0" fontId="7" fillId="4" borderId="0" xfId="6" quotePrefix="1" applyFont="1" applyFill="1" applyBorder="1" applyAlignment="1" applyProtection="1">
      <alignment horizontal="center"/>
    </xf>
    <xf numFmtId="1" fontId="7" fillId="4" borderId="0" xfId="6" applyNumberFormat="1" applyFont="1" applyFill="1" applyBorder="1" applyAlignment="1" applyProtection="1">
      <alignment horizontal="center"/>
    </xf>
    <xf numFmtId="0" fontId="14" fillId="4" borderId="4" xfId="6" applyFont="1" applyFill="1" applyBorder="1" applyAlignment="1" applyProtection="1">
      <alignment horizontal="left"/>
    </xf>
    <xf numFmtId="0" fontId="14" fillId="4" borderId="4" xfId="6" quotePrefix="1" applyFont="1" applyFill="1" applyBorder="1" applyAlignment="1" applyProtection="1">
      <alignment horizontal="left"/>
    </xf>
    <xf numFmtId="0" fontId="7" fillId="10" borderId="9" xfId="6" applyFont="1" applyFill="1" applyBorder="1" applyAlignment="1" applyProtection="1">
      <alignment horizontal="left"/>
    </xf>
    <xf numFmtId="0" fontId="7" fillId="10" borderId="6" xfId="6" applyFont="1" applyFill="1" applyBorder="1"/>
    <xf numFmtId="0" fontId="7" fillId="10" borderId="6" xfId="6" applyFont="1" applyFill="1" applyBorder="1" applyAlignment="1" applyProtection="1">
      <alignment horizontal="left"/>
    </xf>
    <xf numFmtId="169" fontId="7" fillId="10" borderId="10" xfId="6" applyNumberFormat="1" applyFont="1" applyFill="1" applyBorder="1" applyAlignment="1" applyProtection="1">
      <alignment horizontal="center"/>
    </xf>
    <xf numFmtId="0" fontId="14" fillId="4" borderId="0" xfId="6" applyFont="1" applyFill="1" applyBorder="1"/>
    <xf numFmtId="173" fontId="14" fillId="4" borderId="0" xfId="6" applyNumberFormat="1" applyFont="1" applyFill="1" applyBorder="1" applyProtection="1"/>
    <xf numFmtId="0" fontId="14" fillId="4" borderId="0" xfId="6" applyFont="1" applyFill="1" applyBorder="1" applyAlignment="1" applyProtection="1">
      <alignment horizontal="center"/>
    </xf>
    <xf numFmtId="172" fontId="14" fillId="4" borderId="5" xfId="6" applyNumberFormat="1" applyFont="1" applyFill="1" applyBorder="1" applyProtection="1"/>
    <xf numFmtId="0" fontId="11" fillId="2" borderId="1" xfId="0" applyFont="1" applyFill="1" applyBorder="1" applyAlignment="1" applyProtection="1">
      <alignment horizontal="center"/>
    </xf>
    <xf numFmtId="0" fontId="11" fillId="2" borderId="11" xfId="0" applyFont="1" applyFill="1" applyBorder="1" applyAlignment="1" applyProtection="1">
      <alignment horizontal="center"/>
    </xf>
    <xf numFmtId="169" fontId="7" fillId="4" borderId="3" xfId="6" applyNumberFormat="1" applyFont="1" applyFill="1" applyBorder="1" applyProtection="1"/>
    <xf numFmtId="178" fontId="5" fillId="5" borderId="7" xfId="0" applyNumberFormat="1" applyFont="1" applyFill="1" applyBorder="1" applyAlignment="1" applyProtection="1">
      <alignment horizontal="center"/>
      <protection locked="0"/>
    </xf>
    <xf numFmtId="0" fontId="14" fillId="11" borderId="7" xfId="0" applyFont="1" applyFill="1" applyBorder="1" applyAlignment="1" applyProtection="1">
      <alignment horizontal="center"/>
      <protection locked="0"/>
    </xf>
    <xf numFmtId="1" fontId="7" fillId="4" borderId="0" xfId="6" applyNumberFormat="1" applyFont="1" applyFill="1" applyBorder="1" applyAlignment="1">
      <alignment horizontal="center"/>
    </xf>
    <xf numFmtId="169" fontId="7" fillId="4" borderId="5" xfId="6" quotePrefix="1" applyNumberFormat="1" applyFont="1" applyFill="1" applyBorder="1" applyAlignment="1" applyProtection="1">
      <alignment horizontal="center"/>
    </xf>
    <xf numFmtId="0" fontId="14" fillId="4" borderId="5" xfId="6" applyFont="1" applyFill="1" applyBorder="1"/>
    <xf numFmtId="175" fontId="7" fillId="4" borderId="2" xfId="6" applyNumberFormat="1" applyFont="1" applyFill="1" applyBorder="1" applyProtection="1"/>
    <xf numFmtId="178" fontId="5" fillId="5" borderId="9" xfId="0" applyNumberFormat="1" applyFont="1" applyFill="1" applyBorder="1" applyAlignment="1" applyProtection="1">
      <alignment horizontal="center"/>
      <protection locked="0"/>
    </xf>
    <xf numFmtId="0" fontId="5" fillId="5" borderId="9" xfId="0" applyFont="1" applyFill="1" applyBorder="1" applyAlignment="1" applyProtection="1">
      <alignment horizontal="center"/>
      <protection locked="0"/>
    </xf>
    <xf numFmtId="0" fontId="11" fillId="2" borderId="17" xfId="0" applyFont="1" applyFill="1" applyBorder="1" applyAlignment="1" applyProtection="1">
      <alignment horizontal="center"/>
    </xf>
    <xf numFmtId="0" fontId="11" fillId="2" borderId="18" xfId="0" applyFont="1" applyFill="1" applyBorder="1" applyAlignment="1" applyProtection="1">
      <alignment horizontal="center"/>
    </xf>
    <xf numFmtId="178" fontId="5" fillId="5" borderId="19" xfId="0" applyNumberFormat="1" applyFont="1" applyFill="1" applyBorder="1" applyAlignment="1" applyProtection="1">
      <alignment horizontal="center"/>
      <protection locked="0"/>
    </xf>
    <xf numFmtId="0" fontId="14" fillId="11" borderId="19" xfId="0" applyFont="1" applyFill="1" applyBorder="1" applyAlignment="1" applyProtection="1">
      <alignment horizontal="center"/>
      <protection locked="0"/>
    </xf>
    <xf numFmtId="0" fontId="5" fillId="5" borderId="19" xfId="0" applyFont="1" applyFill="1" applyBorder="1" applyAlignment="1" applyProtection="1">
      <alignment horizontal="center"/>
      <protection locked="0"/>
    </xf>
    <xf numFmtId="178" fontId="3" fillId="0" borderId="0" xfId="6" applyNumberFormat="1"/>
    <xf numFmtId="178" fontId="5" fillId="5" borderId="7" xfId="6" applyNumberFormat="1" applyFont="1" applyFill="1" applyBorder="1" applyAlignment="1" applyProtection="1">
      <alignment horizontal="center"/>
      <protection locked="0"/>
    </xf>
    <xf numFmtId="178" fontId="5" fillId="5" borderId="8" xfId="6" applyNumberFormat="1" applyFont="1" applyFill="1" applyBorder="1" applyAlignment="1" applyProtection="1">
      <alignment horizontal="center"/>
      <protection locked="0"/>
    </xf>
    <xf numFmtId="0" fontId="7" fillId="4" borderId="0" xfId="6" quotePrefix="1" applyFont="1" applyFill="1" applyBorder="1" applyAlignment="1">
      <alignment horizontal="center"/>
    </xf>
    <xf numFmtId="0" fontId="3" fillId="0" borderId="0" xfId="6" quotePrefix="1"/>
    <xf numFmtId="169" fontId="7" fillId="4" borderId="0" xfId="6" applyNumberFormat="1" applyFont="1" applyFill="1" applyBorder="1"/>
    <xf numFmtId="0" fontId="7" fillId="4" borderId="0" xfId="6" quotePrefix="1" applyFont="1" applyFill="1" applyBorder="1" applyAlignment="1" applyProtection="1">
      <alignment horizontal="center" wrapText="1"/>
    </xf>
    <xf numFmtId="168" fontId="7" fillId="4" borderId="10" xfId="6" applyNumberFormat="1" applyFont="1" applyFill="1" applyBorder="1" applyProtection="1"/>
    <xf numFmtId="0" fontId="13" fillId="0" borderId="12" xfId="3" applyFont="1" applyBorder="1" applyAlignment="1" applyProtection="1"/>
    <xf numFmtId="0" fontId="7" fillId="0" borderId="0" xfId="6" applyFont="1" applyFill="1" applyBorder="1" applyAlignment="1">
      <alignment horizontal="center"/>
    </xf>
    <xf numFmtId="169" fontId="7" fillId="4" borderId="0" xfId="6" applyNumberFormat="1" applyFont="1" applyFill="1" applyBorder="1" applyAlignment="1" applyProtection="1">
      <alignment horizontal="center"/>
      <protection hidden="1"/>
    </xf>
    <xf numFmtId="4" fontId="5" fillId="5" borderId="7" xfId="1" applyNumberFormat="1" applyFont="1" applyFill="1" applyBorder="1" applyAlignment="1" applyProtection="1">
      <alignment horizontal="center"/>
      <protection locked="0"/>
    </xf>
    <xf numFmtId="169" fontId="7" fillId="4" borderId="0" xfId="6" applyNumberFormat="1" applyFont="1" applyFill="1" applyBorder="1" applyAlignment="1">
      <alignment horizontal="center"/>
    </xf>
    <xf numFmtId="0" fontId="11" fillId="2" borderId="0" xfId="0" applyFont="1" applyFill="1" applyBorder="1" applyAlignment="1" applyProtection="1">
      <alignment horizontal="right"/>
    </xf>
    <xf numFmtId="0" fontId="7" fillId="4" borderId="0" xfId="8" applyFont="1" applyFill="1" applyBorder="1" applyProtection="1"/>
    <xf numFmtId="0" fontId="11" fillId="2" borderId="0" xfId="0" applyFont="1" applyFill="1" applyBorder="1" applyAlignment="1" applyProtection="1">
      <alignment horizontal="left"/>
    </xf>
    <xf numFmtId="172" fontId="11" fillId="2" borderId="5" xfId="0" applyNumberFormat="1" applyFont="1" applyFill="1" applyBorder="1" applyAlignment="1" applyProtection="1">
      <alignment horizontal="center"/>
    </xf>
    <xf numFmtId="2" fontId="19" fillId="0" borderId="0" xfId="0" applyNumberFormat="1" applyFont="1" applyProtection="1"/>
    <xf numFmtId="0" fontId="7" fillId="3" borderId="2" xfId="0" applyFont="1" applyFill="1" applyBorder="1" applyAlignment="1" applyProtection="1">
      <alignment horizontal="fill"/>
    </xf>
    <xf numFmtId="0" fontId="7" fillId="3" borderId="3" xfId="0" applyFont="1" applyFill="1" applyBorder="1" applyAlignment="1" applyProtection="1">
      <alignment horizontal="fill"/>
    </xf>
    <xf numFmtId="0" fontId="7" fillId="3" borderId="4" xfId="0" quotePrefix="1" applyFont="1" applyFill="1" applyBorder="1" applyAlignment="1">
      <alignment horizontal="left"/>
    </xf>
    <xf numFmtId="0" fontId="7" fillId="3" borderId="0" xfId="0" applyFont="1" applyFill="1" applyBorder="1"/>
    <xf numFmtId="0" fontId="7" fillId="3" borderId="5" xfId="0" applyFont="1" applyFill="1" applyBorder="1"/>
    <xf numFmtId="0" fontId="7" fillId="3" borderId="4" xfId="0" applyFont="1" applyFill="1" applyBorder="1"/>
    <xf numFmtId="0" fontId="7" fillId="0" borderId="4" xfId="6" applyFont="1" applyFill="1" applyBorder="1" applyAlignment="1">
      <alignment horizontal="left"/>
    </xf>
    <xf numFmtId="0" fontId="7" fillId="0" borderId="5" xfId="6" applyFont="1" applyFill="1" applyBorder="1" applyAlignment="1">
      <alignment horizontal="centerContinuous"/>
    </xf>
    <xf numFmtId="0" fontId="11" fillId="4" borderId="2" xfId="6" quotePrefix="1" applyFont="1" applyFill="1" applyBorder="1" applyAlignment="1" applyProtection="1">
      <alignment horizontal="left"/>
    </xf>
    <xf numFmtId="178" fontId="11" fillId="5" borderId="7" xfId="6" applyNumberFormat="1" applyFont="1" applyFill="1" applyBorder="1" applyAlignment="1" applyProtection="1">
      <alignment horizontal="center"/>
      <protection locked="0"/>
    </xf>
    <xf numFmtId="0" fontId="7" fillId="4" borderId="2" xfId="6" quotePrefix="1" applyFont="1" applyFill="1" applyBorder="1" applyAlignment="1" applyProtection="1">
      <alignment horizontal="center"/>
    </xf>
    <xf numFmtId="171" fontId="7" fillId="4" borderId="3" xfId="6" applyNumberFormat="1" applyFont="1" applyFill="1" applyBorder="1" applyProtection="1"/>
    <xf numFmtId="0" fontId="7" fillId="4" borderId="12" xfId="6" applyFont="1" applyFill="1" applyBorder="1"/>
    <xf numFmtId="1" fontId="7" fillId="4" borderId="12" xfId="6" applyNumberFormat="1" applyFont="1" applyFill="1" applyBorder="1" applyAlignment="1" applyProtection="1">
      <alignment horizontal="center"/>
    </xf>
    <xf numFmtId="169" fontId="7" fillId="4" borderId="6" xfId="6" applyNumberFormat="1" applyFont="1" applyFill="1" applyBorder="1" applyAlignment="1" applyProtection="1">
      <alignment horizontal="center"/>
    </xf>
    <xf numFmtId="171" fontId="7" fillId="4" borderId="13" xfId="6" applyNumberFormat="1" applyFont="1" applyFill="1" applyBorder="1" applyProtection="1"/>
    <xf numFmtId="169" fontId="7" fillId="4" borderId="0" xfId="6" quotePrefix="1" applyNumberFormat="1" applyFont="1" applyFill="1" applyBorder="1" applyAlignment="1" applyProtection="1">
      <alignment horizontal="right"/>
    </xf>
    <xf numFmtId="1" fontId="5" fillId="5" borderId="7" xfId="0" applyNumberFormat="1" applyFont="1" applyFill="1" applyBorder="1" applyAlignment="1" applyProtection="1">
      <alignment horizontal="center"/>
      <protection locked="0"/>
    </xf>
    <xf numFmtId="0" fontId="11" fillId="4" borderId="28" xfId="6" applyFont="1" applyFill="1" applyBorder="1" applyAlignment="1" applyProtection="1">
      <alignment horizontal="left"/>
    </xf>
    <xf numFmtId="0" fontId="11" fillId="4" borderId="29" xfId="6" applyFont="1" applyFill="1" applyBorder="1"/>
    <xf numFmtId="172" fontId="11" fillId="4" borderId="29" xfId="6" applyNumberFormat="1" applyFont="1" applyFill="1" applyBorder="1" applyAlignment="1" applyProtection="1">
      <alignment horizontal="center"/>
    </xf>
    <xf numFmtId="169" fontId="11" fillId="4" borderId="30" xfId="6" applyNumberFormat="1" applyFont="1" applyFill="1" applyBorder="1" applyAlignment="1" applyProtection="1">
      <alignment horizontal="center"/>
    </xf>
    <xf numFmtId="0" fontId="11" fillId="4" borderId="32" xfId="6" applyFont="1" applyFill="1" applyBorder="1"/>
    <xf numFmtId="169" fontId="11" fillId="4" borderId="32" xfId="6" applyNumberFormat="1" applyFont="1" applyFill="1" applyBorder="1" applyAlignment="1" applyProtection="1">
      <alignment horizontal="center"/>
    </xf>
    <xf numFmtId="0" fontId="11" fillId="4" borderId="32" xfId="6" applyFont="1" applyFill="1" applyBorder="1" applyAlignment="1">
      <alignment horizontal="center"/>
    </xf>
    <xf numFmtId="172" fontId="11" fillId="4" borderId="32" xfId="6" quotePrefix="1" applyNumberFormat="1" applyFont="1" applyFill="1" applyBorder="1" applyAlignment="1" applyProtection="1">
      <alignment horizontal="center"/>
    </xf>
    <xf numFmtId="169" fontId="11" fillId="4" borderId="33" xfId="6" applyNumberFormat="1" applyFont="1" applyFill="1" applyBorder="1" applyAlignment="1" applyProtection="1">
      <alignment horizontal="center"/>
    </xf>
    <xf numFmtId="0" fontId="16" fillId="9" borderId="4" xfId="0" applyFont="1" applyFill="1" applyBorder="1" applyAlignment="1" applyProtection="1">
      <alignment horizontal="left" indent="2"/>
      <protection locked="0"/>
    </xf>
    <xf numFmtId="0" fontId="7" fillId="4" borderId="11" xfId="6" applyFont="1" applyFill="1" applyBorder="1"/>
    <xf numFmtId="0" fontId="13" fillId="0" borderId="12" xfId="3" applyFont="1" applyFill="1" applyBorder="1" applyAlignment="1" applyProtection="1">
      <alignment horizontal="center"/>
    </xf>
    <xf numFmtId="0" fontId="7" fillId="0" borderId="0" xfId="6" quotePrefix="1" applyFont="1" applyFill="1" applyBorder="1" applyAlignment="1">
      <alignment horizontal="center"/>
    </xf>
    <xf numFmtId="179" fontId="16" fillId="9" borderId="0" xfId="0" applyNumberFormat="1" applyFont="1" applyFill="1" applyBorder="1"/>
    <xf numFmtId="180" fontId="11" fillId="9" borderId="0" xfId="0" applyNumberFormat="1" applyFont="1" applyFill="1" applyBorder="1"/>
    <xf numFmtId="181" fontId="11" fillId="9" borderId="5" xfId="0" applyNumberFormat="1" applyFont="1" applyFill="1" applyBorder="1"/>
    <xf numFmtId="182" fontId="11" fillId="9" borderId="0" xfId="2" applyNumberFormat="1" applyFont="1" applyFill="1" applyBorder="1"/>
    <xf numFmtId="182" fontId="11" fillId="9" borderId="5" xfId="0" applyNumberFormat="1" applyFont="1" applyFill="1" applyBorder="1"/>
    <xf numFmtId="182" fontId="11" fillId="9" borderId="0" xfId="0" applyNumberFormat="1" applyFont="1" applyFill="1" applyBorder="1"/>
    <xf numFmtId="182" fontId="11" fillId="9" borderId="12" xfId="0" applyNumberFormat="1" applyFont="1" applyFill="1" applyBorder="1"/>
    <xf numFmtId="182" fontId="11" fillId="9" borderId="13" xfId="0" applyNumberFormat="1" applyFont="1" applyFill="1" applyBorder="1"/>
    <xf numFmtId="179" fontId="11" fillId="9" borderId="0" xfId="0" applyNumberFormat="1" applyFont="1" applyFill="1" applyBorder="1"/>
    <xf numFmtId="0" fontId="7" fillId="4" borderId="0" xfId="6" quotePrefix="1" applyFont="1" applyFill="1" applyBorder="1" applyAlignment="1" applyProtection="1">
      <alignment horizontal="left"/>
    </xf>
    <xf numFmtId="3" fontId="5" fillId="5" borderId="7" xfId="6" applyNumberFormat="1" applyFont="1" applyFill="1" applyBorder="1" applyAlignment="1" applyProtection="1">
      <alignment horizontal="center"/>
      <protection locked="0"/>
    </xf>
    <xf numFmtId="3" fontId="7" fillId="4" borderId="0" xfId="6" applyNumberFormat="1" applyFont="1" applyFill="1" applyBorder="1"/>
    <xf numFmtId="3" fontId="7" fillId="4" borderId="0" xfId="6" applyNumberFormat="1" applyFont="1" applyFill="1" applyBorder="1" applyProtection="1"/>
    <xf numFmtId="3" fontId="8" fillId="4" borderId="0" xfId="6" applyNumberFormat="1" applyFont="1" applyFill="1" applyBorder="1" applyProtection="1">
      <protection hidden="1"/>
    </xf>
    <xf numFmtId="3" fontId="7" fillId="4" borderId="0" xfId="6" applyNumberFormat="1" applyFont="1" applyFill="1" applyBorder="1" applyProtection="1">
      <protection hidden="1"/>
    </xf>
    <xf numFmtId="3" fontId="7" fillId="4" borderId="0" xfId="6" applyNumberFormat="1" applyFont="1" applyFill="1" applyBorder="1" applyAlignment="1">
      <alignment horizontal="center"/>
    </xf>
    <xf numFmtId="3" fontId="7" fillId="4" borderId="0" xfId="6" quotePrefix="1" applyNumberFormat="1" applyFont="1" applyFill="1" applyBorder="1" applyAlignment="1" applyProtection="1"/>
    <xf numFmtId="3" fontId="9" fillId="9" borderId="0" xfId="0" applyNumberFormat="1" applyFont="1" applyFill="1" applyAlignment="1"/>
    <xf numFmtId="3" fontId="7" fillId="4" borderId="0" xfId="6" applyNumberFormat="1" applyFont="1" applyFill="1" applyBorder="1" applyAlignment="1" applyProtection="1">
      <alignment horizontal="center"/>
    </xf>
    <xf numFmtId="0" fontId="11" fillId="4" borderId="4" xfId="6" quotePrefix="1" applyFont="1" applyFill="1" applyBorder="1" applyAlignment="1" applyProtection="1">
      <alignment horizontal="left"/>
    </xf>
    <xf numFmtId="0" fontId="7" fillId="8" borderId="4" xfId="6" applyFont="1" applyFill="1" applyBorder="1" applyAlignment="1" applyProtection="1">
      <alignment horizontal="left"/>
    </xf>
    <xf numFmtId="0" fontId="7" fillId="8" borderId="0" xfId="6" applyFont="1" applyFill="1" applyBorder="1"/>
    <xf numFmtId="0" fontId="7" fillId="8" borderId="0" xfId="6" applyFont="1" applyFill="1" applyBorder="1" applyAlignment="1" applyProtection="1">
      <alignment horizontal="center"/>
    </xf>
    <xf numFmtId="0" fontId="7" fillId="8" borderId="1" xfId="6" applyFont="1" applyFill="1" applyBorder="1" applyAlignment="1" applyProtection="1">
      <alignment horizontal="left"/>
    </xf>
    <xf numFmtId="0" fontId="7" fillId="8" borderId="11" xfId="6" applyFont="1" applyFill="1" applyBorder="1" applyAlignment="1" applyProtection="1">
      <alignment horizontal="left"/>
    </xf>
    <xf numFmtId="0" fontId="7" fillId="8" borderId="2" xfId="6" applyFont="1" applyFill="1" applyBorder="1" applyAlignment="1" applyProtection="1">
      <alignment horizontal="center"/>
    </xf>
    <xf numFmtId="0" fontId="7" fillId="8" borderId="0" xfId="6" quotePrefix="1" applyFont="1" applyFill="1" applyBorder="1" applyAlignment="1" applyProtection="1">
      <alignment horizontal="center"/>
    </xf>
    <xf numFmtId="169" fontId="7" fillId="8" borderId="20" xfId="6" applyNumberFormat="1" applyFont="1" applyFill="1" applyBorder="1" applyAlignment="1" applyProtection="1">
      <alignment horizontal="left"/>
    </xf>
    <xf numFmtId="169" fontId="7" fillId="8" borderId="23" xfId="6" applyNumberFormat="1" applyFont="1" applyFill="1" applyBorder="1" applyAlignment="1" applyProtection="1">
      <alignment horizontal="center"/>
    </xf>
    <xf numFmtId="169" fontId="7" fillId="8" borderId="25" xfId="6" applyNumberFormat="1" applyFont="1" applyFill="1" applyBorder="1" applyAlignment="1" applyProtection="1">
      <alignment horizontal="center"/>
    </xf>
    <xf numFmtId="0" fontId="7" fillId="8" borderId="21" xfId="6" applyFont="1" applyFill="1" applyBorder="1"/>
    <xf numFmtId="169" fontId="7" fillId="8" borderId="21" xfId="6" applyNumberFormat="1" applyFont="1" applyFill="1" applyBorder="1" applyAlignment="1" applyProtection="1">
      <alignment horizontal="center"/>
    </xf>
    <xf numFmtId="0" fontId="7" fillId="8" borderId="22" xfId="6" applyFont="1" applyFill="1" applyBorder="1"/>
    <xf numFmtId="169" fontId="7" fillId="8" borderId="0" xfId="6" quotePrefix="1" applyNumberFormat="1" applyFont="1" applyFill="1" applyBorder="1" applyAlignment="1" applyProtection="1">
      <alignment horizontal="center"/>
    </xf>
    <xf numFmtId="0" fontId="7" fillId="8" borderId="24" xfId="6" applyFont="1" applyFill="1" applyBorder="1" applyAlignment="1">
      <alignment horizontal="center"/>
    </xf>
    <xf numFmtId="169" fontId="7" fillId="8" borderId="26" xfId="6" applyNumberFormat="1" applyFont="1" applyFill="1" applyBorder="1" applyAlignment="1" applyProtection="1">
      <alignment horizontal="center"/>
    </xf>
    <xf numFmtId="1" fontId="7" fillId="8" borderId="27" xfId="6" applyNumberFormat="1" applyFont="1" applyFill="1" applyBorder="1" applyAlignment="1">
      <alignment horizontal="center"/>
    </xf>
    <xf numFmtId="0" fontId="11" fillId="9" borderId="12" xfId="0" applyFont="1" applyFill="1" applyBorder="1" applyAlignment="1" applyProtection="1">
      <alignment horizontal="center"/>
    </xf>
    <xf numFmtId="0" fontId="11" fillId="9" borderId="13" xfId="0" applyFont="1" applyFill="1" applyBorder="1" applyAlignment="1" applyProtection="1">
      <alignment horizontal="center"/>
    </xf>
    <xf numFmtId="0" fontId="7" fillId="8" borderId="0" xfId="6" quotePrefix="1" applyFont="1" applyFill="1" applyBorder="1" applyAlignment="1">
      <alignment horizontal="center"/>
    </xf>
    <xf numFmtId="1" fontId="7" fillId="8" borderId="0" xfId="6" applyNumberFormat="1" applyFont="1" applyFill="1" applyBorder="1" applyAlignment="1">
      <alignment horizontal="center"/>
    </xf>
    <xf numFmtId="0" fontId="7" fillId="8" borderId="4" xfId="6" applyFont="1" applyFill="1" applyBorder="1" applyAlignment="1" applyProtection="1">
      <alignment horizontal="left" wrapText="1"/>
    </xf>
    <xf numFmtId="0" fontId="5" fillId="9" borderId="4" xfId="6" applyFont="1" applyFill="1" applyBorder="1" applyAlignment="1" applyProtection="1">
      <alignment horizontal="left"/>
      <protection locked="0"/>
    </xf>
    <xf numFmtId="0" fontId="7" fillId="8" borderId="4" xfId="6" applyFont="1" applyFill="1" applyBorder="1"/>
    <xf numFmtId="169" fontId="7" fillId="8" borderId="0" xfId="6" applyNumberFormat="1" applyFont="1" applyFill="1" applyBorder="1" applyAlignment="1" applyProtection="1">
      <alignment horizontal="center"/>
    </xf>
    <xf numFmtId="0" fontId="7" fillId="8" borderId="0" xfId="6" quotePrefix="1" applyFont="1" applyFill="1" applyBorder="1" applyAlignment="1" applyProtection="1"/>
    <xf numFmtId="168" fontId="8" fillId="8" borderId="0" xfId="6" applyNumberFormat="1" applyFont="1" applyFill="1" applyBorder="1" applyProtection="1">
      <protection hidden="1"/>
    </xf>
    <xf numFmtId="169" fontId="11" fillId="8" borderId="29" xfId="6" applyNumberFormat="1" applyFont="1" applyFill="1" applyBorder="1" applyAlignment="1" applyProtection="1">
      <alignment horizontal="center"/>
    </xf>
    <xf numFmtId="0" fontId="11" fillId="8" borderId="31" xfId="6" applyFont="1" applyFill="1" applyBorder="1" applyAlignment="1" applyProtection="1">
      <alignment horizontal="left"/>
    </xf>
    <xf numFmtId="0" fontId="7" fillId="8" borderId="0" xfId="6" quotePrefix="1" applyFont="1" applyFill="1" applyBorder="1" applyAlignment="1" applyProtection="1">
      <alignment horizontal="left"/>
    </xf>
    <xf numFmtId="0" fontId="7" fillId="8" borderId="0" xfId="6" applyFont="1" applyFill="1" applyBorder="1" applyProtection="1"/>
    <xf numFmtId="0" fontId="7" fillId="8" borderId="1" xfId="6" applyFont="1" applyFill="1" applyBorder="1"/>
    <xf numFmtId="0" fontId="7" fillId="3" borderId="0" xfId="0" quotePrefix="1" applyFont="1" applyFill="1" applyBorder="1" applyAlignment="1">
      <alignment horizontal="center"/>
    </xf>
  </cellXfs>
  <cellStyles count="9">
    <cellStyle name="Comma" xfId="1" builtinId="3"/>
    <cellStyle name="Currency" xfId="2" builtinId="4"/>
    <cellStyle name="Hyperlink" xfId="3" builtinId="8"/>
    <cellStyle name="Normal" xfId="0" builtinId="0"/>
    <cellStyle name="Normal_calffeed" xfId="4" xr:uid="{00000000-0005-0000-0000-000004000000}"/>
    <cellStyle name="Normal_Corn2" xfId="8" xr:uid="{00000000-0005-0000-0000-000005000000}"/>
    <cellStyle name="Normal_Raspc2" xfId="5" xr:uid="{00000000-0005-0000-0000-000006000000}"/>
    <cellStyle name="Normal_Veal" xfId="6" xr:uid="{00000000-0005-0000-0000-000007000000}"/>
    <cellStyle name="Percent" xfId="7" builtinId="5"/>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colors>
    <mruColors>
      <color rgb="FFCCFFCC"/>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15240</xdr:rowOff>
    </xdr:from>
    <xdr:to>
      <xdr:col>0</xdr:col>
      <xdr:colOff>1498744</xdr:colOff>
      <xdr:row>2</xdr:row>
      <xdr:rowOff>160020</xdr:rowOff>
    </xdr:to>
    <xdr:pic>
      <xdr:nvPicPr>
        <xdr:cNvPr id="3" name="Picture 2" descr="This is the Ontario Trillium logo">
          <a:extLst>
            <a:ext uri="{FF2B5EF4-FFF2-40B4-BE49-F238E27FC236}">
              <a16:creationId xmlns:a16="http://schemas.microsoft.com/office/drawing/2014/main" id="{CD0ED919-0D70-4D95-BD33-E205D605CCE6}"/>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13360"/>
          <a:ext cx="149874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Analysis%20Tools/LoanCalc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ialog1"/>
      <sheetName val="Balance"/>
      <sheetName val="P+I"/>
      <sheetName val="Compare"/>
      <sheetName val="Prepay"/>
      <sheetName val="Refinance"/>
      <sheetName val="InterestRate"/>
      <sheetName val="Time"/>
      <sheetName val="Max"/>
      <sheetName val="Tips"/>
      <sheetName val="Module1"/>
      <sheetName val="Module3"/>
      <sheetName val="Module4"/>
      <sheetName val="SetToolbars"/>
      <sheetName val="Module5"/>
    </sheetNames>
    <sheetDataSet>
      <sheetData sheetId="0">
        <row r="2">
          <cell r="R2">
            <v>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ntario.ca/fr/page/ministere-de-lagriculture-de-lalimentation-et-des-affaires-rural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4"/>
  <dimension ref="A1:AZ344"/>
  <sheetViews>
    <sheetView showGridLines="0" tabSelected="1" zoomScaleNormal="100" zoomScaleSheetLayoutView="100" workbookViewId="0">
      <selection activeCell="A4" sqref="A4"/>
    </sheetView>
  </sheetViews>
  <sheetFormatPr defaultColWidth="11" defaultRowHeight="12" x14ac:dyDescent="0.15"/>
  <cols>
    <col min="1" max="1" width="23" style="2" customWidth="1"/>
    <col min="2" max="2" width="22.140625" style="2" customWidth="1"/>
    <col min="3" max="4" width="15.7109375" style="2" customWidth="1"/>
    <col min="5" max="5" width="17.28515625" style="2" customWidth="1"/>
    <col min="6" max="6" width="16.85546875" style="2" customWidth="1"/>
    <col min="7" max="7" width="17.28515625" style="2" customWidth="1"/>
    <col min="8" max="8" width="19.42578125" style="2" customWidth="1"/>
    <col min="9" max="9" width="12" style="29" hidden="1" customWidth="1"/>
    <col min="10" max="10" width="8.85546875" style="2" hidden="1" customWidth="1"/>
    <col min="11" max="11" width="11" style="29" hidden="1" customWidth="1"/>
    <col min="12" max="18" width="11" style="2" hidden="1" customWidth="1"/>
    <col min="19" max="19" width="8.7109375" style="2" hidden="1" customWidth="1"/>
    <col min="20" max="20" width="3" style="2" hidden="1" customWidth="1"/>
    <col min="21" max="21" width="19" style="2" hidden="1" customWidth="1"/>
    <col min="22" max="28" width="11" style="2" hidden="1" customWidth="1"/>
    <col min="29" max="29" width="12.28515625" style="2" hidden="1" customWidth="1"/>
    <col min="30" max="30" width="12.42578125" style="2" hidden="1" customWidth="1"/>
    <col min="31" max="31" width="16.28515625" style="2" hidden="1" customWidth="1"/>
    <col min="32" max="32" width="11" style="2" hidden="1" customWidth="1"/>
    <col min="33" max="33" width="11.28515625" style="2" hidden="1" customWidth="1"/>
    <col min="34" max="41" width="11" style="2" hidden="1" customWidth="1"/>
    <col min="42" max="42" width="13.28515625" style="2" hidden="1" customWidth="1"/>
    <col min="43" max="50" width="8.7109375" style="2" hidden="1" customWidth="1"/>
    <col min="51" max="51" width="6.42578125" style="2" hidden="1" customWidth="1"/>
    <col min="52" max="52" width="11" style="2" hidden="1" customWidth="1"/>
    <col min="53" max="56" width="0" style="2" hidden="1" customWidth="1"/>
    <col min="57" max="241" width="11" style="2"/>
    <col min="242" max="242" width="8.7109375" style="2" customWidth="1"/>
    <col min="243" max="243" width="3" style="2" customWidth="1"/>
    <col min="244" max="250" width="11" style="2"/>
    <col min="251" max="251" width="8.7109375" style="2" customWidth="1"/>
    <col min="252" max="252" width="3" style="2" customWidth="1"/>
    <col min="253" max="16384" width="11" style="2"/>
  </cols>
  <sheetData>
    <row r="1" spans="1:30" ht="15.75" x14ac:dyDescent="0.25">
      <c r="A1" s="126" t="s">
        <v>156</v>
      </c>
    </row>
    <row r="2" spans="1:30" ht="15.75" x14ac:dyDescent="0.25">
      <c r="A2" s="31"/>
      <c r="B2" s="32"/>
      <c r="C2" s="33" t="s">
        <v>100</v>
      </c>
      <c r="D2" s="32"/>
      <c r="E2" s="32"/>
      <c r="F2" s="32"/>
      <c r="G2" s="224" t="s">
        <v>262</v>
      </c>
      <c r="H2" s="34"/>
      <c r="I2" s="25"/>
      <c r="J2" s="1"/>
      <c r="K2" s="25"/>
      <c r="L2" s="1"/>
      <c r="AA2" s="3">
        <f ca="1">E157</f>
        <v>-98.617877369134618</v>
      </c>
      <c r="AB2" s="3"/>
    </row>
    <row r="3" spans="1:30" ht="15.75" x14ac:dyDescent="0.25">
      <c r="A3" s="35"/>
      <c r="B3" s="36"/>
      <c r="C3" s="36"/>
      <c r="D3" s="36"/>
      <c r="E3" s="36"/>
      <c r="F3" s="37" t="s">
        <v>99</v>
      </c>
      <c r="G3" s="38"/>
      <c r="H3" s="39">
        <f ca="1">AA2</f>
        <v>-98.617877369134618</v>
      </c>
      <c r="I3" s="25"/>
      <c r="J3" s="1"/>
      <c r="K3" s="25"/>
      <c r="L3" s="1"/>
      <c r="AA3" s="2">
        <f ca="1">IF(D16&lt;=0,0,+H136)</f>
        <v>539976.89879898739</v>
      </c>
    </row>
    <row r="4" spans="1:30" ht="15.75" x14ac:dyDescent="0.25">
      <c r="A4" s="267"/>
      <c r="B4" s="36"/>
      <c r="C4" s="36"/>
      <c r="D4" s="36"/>
      <c r="E4" s="36"/>
      <c r="F4" s="36"/>
      <c r="G4" s="41" t="s">
        <v>0</v>
      </c>
      <c r="H4" s="42"/>
      <c r="I4" s="25"/>
      <c r="J4" s="1"/>
      <c r="K4" s="25"/>
      <c r="L4" s="1"/>
      <c r="AA4" s="2">
        <f>IF(D16&lt;=0,0,+H146)</f>
        <v>75915</v>
      </c>
      <c r="AD4" s="21"/>
    </row>
    <row r="5" spans="1:30" ht="15.75" x14ac:dyDescent="0.25">
      <c r="A5" s="267" t="s">
        <v>233</v>
      </c>
      <c r="B5" s="36"/>
      <c r="C5" s="43"/>
      <c r="D5" s="43"/>
      <c r="E5" s="43"/>
      <c r="F5" s="36"/>
      <c r="G5" s="44"/>
      <c r="H5" s="45"/>
      <c r="I5" s="25"/>
      <c r="J5" s="1"/>
      <c r="K5" s="25"/>
      <c r="L5" s="1"/>
      <c r="AA5" s="2">
        <f>IF(D16&lt;=0,0,+F151)</f>
        <v>558080.25</v>
      </c>
      <c r="AD5" s="21"/>
    </row>
    <row r="6" spans="1:30" ht="15.75" x14ac:dyDescent="0.25">
      <c r="A6" s="267" t="s">
        <v>234</v>
      </c>
      <c r="B6" s="36"/>
      <c r="C6" s="36"/>
      <c r="D6" s="36"/>
      <c r="E6" s="46"/>
      <c r="F6" s="43"/>
      <c r="G6" s="36"/>
      <c r="H6" s="42"/>
      <c r="I6" s="25"/>
      <c r="J6" s="1"/>
      <c r="K6" s="25"/>
      <c r="L6" s="1"/>
      <c r="AA6" s="2">
        <f>100-D30</f>
        <v>100</v>
      </c>
      <c r="AD6" s="21"/>
    </row>
    <row r="7" spans="1:30" ht="15.75" hidden="1" x14ac:dyDescent="0.25">
      <c r="A7" s="172"/>
      <c r="B7" s="36"/>
      <c r="C7" s="36"/>
      <c r="D7" s="36"/>
      <c r="E7" s="46"/>
      <c r="F7" s="47"/>
      <c r="G7" s="36"/>
      <c r="H7" s="48"/>
      <c r="I7" s="25"/>
      <c r="J7" s="1"/>
      <c r="K7" s="25"/>
      <c r="L7" s="1"/>
      <c r="AA7" s="2">
        <f>IF(D16&lt;=0,0,+I143)</f>
        <v>138440.36422400718</v>
      </c>
      <c r="AD7" s="2" t="s">
        <v>67</v>
      </c>
    </row>
    <row r="8" spans="1:30" ht="15.75" hidden="1" x14ac:dyDescent="0.25">
      <c r="A8" s="172"/>
      <c r="B8" s="36"/>
      <c r="C8" s="49"/>
      <c r="D8" s="36"/>
      <c r="E8" s="43"/>
      <c r="F8" s="36"/>
      <c r="G8" s="36"/>
      <c r="H8" s="48"/>
      <c r="I8" s="25"/>
      <c r="J8" s="1"/>
      <c r="K8" s="25"/>
      <c r="L8" s="1"/>
      <c r="AA8" s="2">
        <f>D16</f>
        <v>650</v>
      </c>
      <c r="AD8" s="2" t="s">
        <v>68</v>
      </c>
    </row>
    <row r="9" spans="1:30" ht="15.75" hidden="1" x14ac:dyDescent="0.25">
      <c r="A9" s="172"/>
      <c r="B9" s="36"/>
      <c r="C9" s="49"/>
      <c r="D9" s="36"/>
      <c r="E9" s="43"/>
      <c r="F9" s="36"/>
      <c r="G9" s="50"/>
      <c r="H9" s="51"/>
      <c r="I9" s="25"/>
      <c r="J9" s="1"/>
      <c r="K9" s="25"/>
      <c r="L9" s="1"/>
      <c r="AA9" s="3">
        <f>H87</f>
        <v>89945.945945945947</v>
      </c>
      <c r="AB9" s="3"/>
      <c r="AD9" s="2" t="s">
        <v>69</v>
      </c>
    </row>
    <row r="10" spans="1:30" ht="15.75" hidden="1" x14ac:dyDescent="0.25">
      <c r="A10" s="173"/>
      <c r="B10" s="36"/>
      <c r="C10" s="49"/>
      <c r="D10" s="36"/>
      <c r="E10" s="43"/>
      <c r="F10" s="36"/>
      <c r="G10" s="50"/>
      <c r="H10" s="51"/>
      <c r="I10" s="25"/>
      <c r="J10" s="1"/>
      <c r="K10" s="25"/>
      <c r="L10" s="1"/>
      <c r="AA10" s="2">
        <f>100-D37</f>
        <v>100</v>
      </c>
      <c r="AD10" s="2" t="s">
        <v>1</v>
      </c>
    </row>
    <row r="11" spans="1:30" ht="15.75" x14ac:dyDescent="0.25">
      <c r="A11" s="53"/>
      <c r="B11" s="53"/>
      <c r="C11" s="53"/>
      <c r="D11" s="53"/>
      <c r="E11" s="53"/>
      <c r="F11" s="53"/>
      <c r="G11" s="53"/>
      <c r="H11" s="53"/>
      <c r="I11" s="25"/>
      <c r="J11" s="1"/>
      <c r="K11" s="25"/>
      <c r="L11" s="1"/>
      <c r="AA11" s="2">
        <f>(D31-D23)/D36</f>
        <v>112</v>
      </c>
      <c r="AD11" s="22"/>
    </row>
    <row r="12" spans="1:30" ht="15.75" x14ac:dyDescent="0.25">
      <c r="A12" s="5" t="s">
        <v>101</v>
      </c>
      <c r="B12" s="54"/>
      <c r="C12" s="54"/>
      <c r="D12" s="54"/>
      <c r="E12" s="54"/>
      <c r="F12" s="54"/>
      <c r="G12" s="54"/>
      <c r="H12" s="55"/>
      <c r="I12" s="25"/>
      <c r="J12" s="1"/>
      <c r="K12" s="25"/>
      <c r="L12" s="1"/>
      <c r="AA12" s="2">
        <f>IF(E36=0,0,(E31-D31)/E36)</f>
        <v>114.28571428571429</v>
      </c>
      <c r="AD12" s="22"/>
    </row>
    <row r="13" spans="1:30" ht="15.75" x14ac:dyDescent="0.25">
      <c r="A13" s="56"/>
      <c r="B13" s="36"/>
      <c r="C13" s="36"/>
      <c r="D13" s="36"/>
      <c r="E13" s="43"/>
      <c r="F13" s="36"/>
      <c r="G13" s="57"/>
      <c r="H13" s="51"/>
      <c r="I13" s="25"/>
      <c r="J13" s="1"/>
      <c r="K13" s="25"/>
      <c r="L13" s="1"/>
      <c r="AA13" s="6">
        <f>H99</f>
        <v>22262.5</v>
      </c>
      <c r="AB13" s="6"/>
      <c r="AD13" s="22"/>
    </row>
    <row r="14" spans="1:30" ht="15.75" x14ac:dyDescent="0.25">
      <c r="A14" s="267" t="s">
        <v>161</v>
      </c>
      <c r="B14" s="268"/>
      <c r="C14" s="268"/>
      <c r="D14" s="58">
        <v>650</v>
      </c>
      <c r="E14" s="59"/>
      <c r="F14" s="50"/>
      <c r="G14" s="50"/>
      <c r="H14" s="51"/>
      <c r="I14" s="25"/>
      <c r="J14" s="1"/>
      <c r="K14" s="26">
        <v>0</v>
      </c>
      <c r="L14" s="1"/>
      <c r="AA14" s="2">
        <f>D14</f>
        <v>650</v>
      </c>
      <c r="AD14" s="22"/>
    </row>
    <row r="15" spans="1:30" ht="15.75" x14ac:dyDescent="0.25">
      <c r="A15" s="267" t="s">
        <v>162</v>
      </c>
      <c r="B15" s="268"/>
      <c r="C15" s="268"/>
      <c r="D15" s="58">
        <v>0</v>
      </c>
      <c r="E15" s="59"/>
      <c r="F15" s="50"/>
      <c r="G15" s="50"/>
      <c r="H15" s="51"/>
      <c r="I15" s="25"/>
      <c r="J15" s="1"/>
      <c r="K15" s="26"/>
      <c r="L15" s="1"/>
      <c r="AA15" s="2">
        <f>IF(G36=0,0,(G31-E23)/G36)</f>
        <v>114.28571428571429</v>
      </c>
      <c r="AD15" s="22"/>
    </row>
    <row r="16" spans="1:30" ht="15.75" x14ac:dyDescent="0.25">
      <c r="A16" s="267" t="s">
        <v>163</v>
      </c>
      <c r="B16" s="268"/>
      <c r="C16" s="268"/>
      <c r="D16" s="269">
        <f>SUM(D14:D15)</f>
        <v>650</v>
      </c>
      <c r="E16" s="59"/>
      <c r="F16" s="50"/>
      <c r="G16" s="50"/>
      <c r="H16" s="51"/>
      <c r="I16" s="25"/>
      <c r="J16" s="1"/>
      <c r="K16" s="26"/>
      <c r="L16" s="1"/>
      <c r="AA16" s="2" t="e">
        <f>IF(#REF!="yes","No","Yes")</f>
        <v>#REF!</v>
      </c>
      <c r="AC16" s="2" t="s">
        <v>83</v>
      </c>
      <c r="AD16" s="22"/>
    </row>
    <row r="17" spans="1:30" ht="15.75" x14ac:dyDescent="0.25">
      <c r="A17" s="40"/>
      <c r="B17" s="36"/>
      <c r="C17" s="36"/>
      <c r="D17" s="59"/>
      <c r="E17" s="59"/>
      <c r="F17" s="50"/>
      <c r="G17" s="50"/>
      <c r="H17" s="51"/>
      <c r="I17" s="25"/>
      <c r="J17" s="1"/>
      <c r="K17" s="26"/>
      <c r="L17" s="1"/>
      <c r="AD17" s="22"/>
    </row>
    <row r="18" spans="1:30" ht="15.75" x14ac:dyDescent="0.25">
      <c r="A18" s="270" t="s">
        <v>165</v>
      </c>
      <c r="B18" s="32"/>
      <c r="C18" s="32"/>
      <c r="D18" s="226" t="s">
        <v>103</v>
      </c>
      <c r="E18" s="226" t="s">
        <v>104</v>
      </c>
      <c r="F18" s="111"/>
      <c r="G18" s="272" t="s">
        <v>164</v>
      </c>
      <c r="H18" s="227"/>
      <c r="I18" s="25"/>
      <c r="J18" s="1"/>
      <c r="K18" s="26"/>
      <c r="L18" s="1"/>
      <c r="AC18" s="2" t="s">
        <v>84</v>
      </c>
      <c r="AD18" s="22"/>
    </row>
    <row r="19" spans="1:30" ht="15.75" x14ac:dyDescent="0.25">
      <c r="A19" s="267" t="s">
        <v>166</v>
      </c>
      <c r="B19" s="36"/>
      <c r="C19" s="36"/>
      <c r="D19" s="58">
        <v>16</v>
      </c>
      <c r="E19" s="58">
        <v>17</v>
      </c>
      <c r="F19" s="50"/>
      <c r="G19" s="58">
        <v>17</v>
      </c>
      <c r="H19" s="51"/>
      <c r="I19" s="25"/>
      <c r="J19" s="1"/>
      <c r="K19" s="26"/>
      <c r="L19" s="1"/>
      <c r="AD19" s="22"/>
    </row>
    <row r="20" spans="1:30" ht="15.75" x14ac:dyDescent="0.25">
      <c r="A20" s="271" t="s">
        <v>167</v>
      </c>
      <c r="B20" s="228"/>
      <c r="C20" s="228"/>
      <c r="D20" s="229">
        <f>D14/(52/D19)</f>
        <v>200</v>
      </c>
      <c r="E20" s="229">
        <f>((D14*(100-D35)/100))/(52/E19)</f>
        <v>196.5625</v>
      </c>
      <c r="F20" s="229"/>
      <c r="G20" s="230">
        <f>D15/(52/G19)</f>
        <v>0</v>
      </c>
      <c r="H20" s="231"/>
      <c r="I20" s="25"/>
      <c r="J20" s="1"/>
      <c r="K20" s="26"/>
      <c r="L20" s="1"/>
      <c r="AD20" s="22"/>
    </row>
    <row r="21" spans="1:30" ht="15.75" x14ac:dyDescent="0.25">
      <c r="A21" s="40"/>
      <c r="B21" s="36"/>
      <c r="C21" s="36"/>
      <c r="D21" s="59"/>
      <c r="E21" s="59"/>
      <c r="F21" s="50"/>
      <c r="G21" s="50"/>
      <c r="H21" s="51"/>
      <c r="I21" s="25"/>
      <c r="J21" s="1"/>
      <c r="K21" s="26"/>
      <c r="L21" s="1"/>
      <c r="AD21" s="22"/>
    </row>
    <row r="22" spans="1:30" ht="15.75" x14ac:dyDescent="0.25">
      <c r="A22" s="40"/>
      <c r="B22" s="36"/>
      <c r="C22" s="36"/>
      <c r="D22" s="273" t="s">
        <v>168</v>
      </c>
      <c r="E22" s="269" t="s">
        <v>164</v>
      </c>
      <c r="F22" s="50"/>
      <c r="G22" s="50"/>
      <c r="H22" s="51"/>
      <c r="I22" s="25"/>
      <c r="J22" s="1"/>
      <c r="K22" s="26"/>
      <c r="L22" s="1"/>
      <c r="AD22" s="22"/>
    </row>
    <row r="23" spans="1:30" ht="15.75" x14ac:dyDescent="0.25">
      <c r="A23" s="40" t="s">
        <v>155</v>
      </c>
      <c r="B23" s="36"/>
      <c r="C23" s="36"/>
      <c r="D23" s="58">
        <v>104</v>
      </c>
      <c r="E23" s="58">
        <v>300</v>
      </c>
      <c r="F23" s="59"/>
      <c r="G23" s="36"/>
      <c r="H23" s="51"/>
      <c r="I23" s="25"/>
      <c r="J23" s="1"/>
      <c r="K23" s="24">
        <f ca="1">AA3</f>
        <v>539976.89879898739</v>
      </c>
      <c r="L23" s="1"/>
      <c r="AA23" s="2">
        <f>D29*J35*(100-D30)/100</f>
        <v>601.25</v>
      </c>
    </row>
    <row r="24" spans="1:30" ht="15.75" x14ac:dyDescent="0.25">
      <c r="A24" s="40" t="s">
        <v>237</v>
      </c>
      <c r="B24" s="36"/>
      <c r="C24" s="36"/>
      <c r="D24" s="58">
        <v>120</v>
      </c>
      <c r="E24" s="58">
        <v>120</v>
      </c>
      <c r="F24" s="170"/>
      <c r="G24" s="50"/>
      <c r="H24" s="51"/>
      <c r="I24" s="25"/>
      <c r="J24" s="1"/>
      <c r="K24" s="24">
        <f>AA4</f>
        <v>75915</v>
      </c>
      <c r="L24" s="1"/>
      <c r="AA24" s="2">
        <f>(1-D35/100)</f>
        <v>0.92500000000000004</v>
      </c>
    </row>
    <row r="25" spans="1:30" ht="15.75" x14ac:dyDescent="0.25">
      <c r="A25" s="56"/>
      <c r="B25" s="36"/>
      <c r="C25" s="36"/>
      <c r="D25" s="36"/>
      <c r="E25" s="43"/>
      <c r="F25" s="50"/>
      <c r="G25" s="50"/>
      <c r="H25" s="60"/>
      <c r="I25" s="25"/>
      <c r="J25" s="1"/>
      <c r="K25" s="24">
        <f>AA5</f>
        <v>558080.25</v>
      </c>
      <c r="L25" s="1"/>
      <c r="AA25" s="3">
        <f>SUM(H106,H116,H118,H121)</f>
        <v>70039.240449584191</v>
      </c>
      <c r="AB25" s="3"/>
      <c r="AD25" s="22"/>
    </row>
    <row r="26" spans="1:30" ht="15.75" x14ac:dyDescent="0.25">
      <c r="A26" s="56"/>
      <c r="B26" s="36"/>
      <c r="C26" s="36"/>
      <c r="D26" s="59" t="s">
        <v>103</v>
      </c>
      <c r="E26" s="59" t="s">
        <v>104</v>
      </c>
      <c r="F26" s="62"/>
      <c r="G26" s="269" t="s">
        <v>164</v>
      </c>
      <c r="H26" s="63"/>
      <c r="I26" s="25"/>
      <c r="J26" s="1"/>
      <c r="K26" s="24">
        <f>AA7</f>
        <v>138440.36422400718</v>
      </c>
      <c r="L26" s="1"/>
      <c r="AA26" s="3">
        <f>H117</f>
        <v>3224.203125</v>
      </c>
      <c r="AB26" s="3"/>
      <c r="AD26" s="23"/>
    </row>
    <row r="27" spans="1:30" ht="15.75" x14ac:dyDescent="0.25">
      <c r="A27" s="40" t="s">
        <v>102</v>
      </c>
      <c r="B27" s="36"/>
      <c r="C27" s="36"/>
      <c r="D27" s="64" t="s">
        <v>169</v>
      </c>
      <c r="E27" s="65" t="s">
        <v>170</v>
      </c>
      <c r="F27" s="36"/>
      <c r="G27" s="65" t="s">
        <v>171</v>
      </c>
      <c r="H27" s="63"/>
      <c r="I27" s="25"/>
      <c r="J27" s="1"/>
      <c r="K27" s="25"/>
      <c r="L27" s="1"/>
      <c r="AA27" s="2">
        <f>(1-E35/100)</f>
        <v>0.97499999999999998</v>
      </c>
    </row>
    <row r="28" spans="1:30" ht="15.75" x14ac:dyDescent="0.25">
      <c r="A28" s="66" t="s">
        <v>4</v>
      </c>
      <c r="B28" s="36"/>
      <c r="C28" s="67"/>
      <c r="D28" s="68" t="s">
        <v>4</v>
      </c>
      <c r="E28" s="68" t="s">
        <v>4</v>
      </c>
      <c r="F28" s="36"/>
      <c r="G28" s="68"/>
      <c r="H28" s="63"/>
      <c r="I28" s="25"/>
      <c r="J28" s="1"/>
      <c r="K28" s="27" t="s">
        <v>5</v>
      </c>
      <c r="L28" s="1"/>
      <c r="AA28" s="3">
        <f>H119+H120</f>
        <v>35293.28125</v>
      </c>
      <c r="AB28" s="3"/>
    </row>
    <row r="29" spans="1:30" ht="18.75" x14ac:dyDescent="0.25">
      <c r="A29" s="40" t="s">
        <v>205</v>
      </c>
      <c r="B29" s="36"/>
      <c r="C29" s="36"/>
      <c r="D29" s="59">
        <f>AA14</f>
        <v>650</v>
      </c>
      <c r="E29" s="62">
        <f>AA23</f>
        <v>601.25</v>
      </c>
      <c r="F29" s="43"/>
      <c r="G29" s="62">
        <f>D15</f>
        <v>0</v>
      </c>
      <c r="H29" s="48"/>
      <c r="I29" s="25"/>
      <c r="J29" s="1"/>
      <c r="K29" s="25"/>
      <c r="L29" s="1"/>
      <c r="AA29" s="2">
        <f>(C68*D68+C69*D69+C70*D70+C65*D65+C66*D66+C67*D67)/1000*D29+I58</f>
        <v>115212.5</v>
      </c>
    </row>
    <row r="30" spans="1:30" ht="15.75" hidden="1" x14ac:dyDescent="0.25">
      <c r="A30" s="172" t="s">
        <v>6</v>
      </c>
      <c r="B30" s="178"/>
      <c r="C30" s="179"/>
      <c r="D30" s="139">
        <v>0</v>
      </c>
      <c r="E30" s="180">
        <f>AA6</f>
        <v>100</v>
      </c>
      <c r="F30" s="178"/>
      <c r="G30" s="180"/>
      <c r="H30" s="181"/>
      <c r="I30" s="25"/>
      <c r="J30" s="1"/>
      <c r="K30" s="27" t="s">
        <v>7</v>
      </c>
      <c r="L30" s="1"/>
      <c r="AA30" s="2">
        <f>(D65*D29+E65*E29+F65*G29)/D16</f>
        <v>35</v>
      </c>
    </row>
    <row r="31" spans="1:30" ht="15.75" x14ac:dyDescent="0.25">
      <c r="A31" s="40" t="s">
        <v>110</v>
      </c>
      <c r="B31" s="36"/>
      <c r="C31" s="67"/>
      <c r="D31" s="58">
        <v>300</v>
      </c>
      <c r="E31" s="58">
        <v>700</v>
      </c>
      <c r="F31" s="46"/>
      <c r="G31" s="58">
        <v>700</v>
      </c>
      <c r="H31" s="48"/>
      <c r="I31" s="25"/>
      <c r="J31" s="1"/>
      <c r="K31" s="24">
        <f>AA8</f>
        <v>650</v>
      </c>
      <c r="L31" s="1"/>
      <c r="AA31" s="2">
        <f>C65*((D65*D29+E65*E29+F65*G29)/1000)</f>
        <v>81900</v>
      </c>
      <c r="AB31" s="2">
        <f>AA31/AA50</f>
        <v>139.70893970893971</v>
      </c>
      <c r="AD31" s="2" t="s">
        <v>232</v>
      </c>
    </row>
    <row r="32" spans="1:30" ht="15.75" x14ac:dyDescent="0.25">
      <c r="A32" s="40" t="s">
        <v>236</v>
      </c>
      <c r="B32" s="36"/>
      <c r="C32" s="49"/>
      <c r="D32" s="205">
        <v>120</v>
      </c>
      <c r="E32" s="58">
        <v>136</v>
      </c>
      <c r="F32" s="49"/>
      <c r="G32" s="58">
        <v>136</v>
      </c>
      <c r="H32" s="48"/>
      <c r="I32" s="25"/>
      <c r="J32" s="1"/>
      <c r="K32" s="24">
        <f>AA9</f>
        <v>89945.945945945947</v>
      </c>
      <c r="L32" s="1"/>
      <c r="AA32" s="2">
        <f>(D66*D29+E66*E29+F66*G29)/D16</f>
        <v>0</v>
      </c>
      <c r="AD32" s="2" t="s">
        <v>260</v>
      </c>
    </row>
    <row r="33" spans="1:39" ht="15.75" x14ac:dyDescent="0.25">
      <c r="A33" s="40" t="s">
        <v>111</v>
      </c>
      <c r="B33" s="43"/>
      <c r="C33" s="38"/>
      <c r="D33" s="58">
        <v>0</v>
      </c>
      <c r="E33" s="58">
        <v>0</v>
      </c>
      <c r="F33" s="46"/>
      <c r="G33" s="58">
        <v>0</v>
      </c>
      <c r="H33" s="42"/>
      <c r="I33" s="25"/>
      <c r="J33" s="1"/>
      <c r="K33" s="24" t="e">
        <f>#REF!</f>
        <v>#REF!</v>
      </c>
      <c r="L33" s="1"/>
      <c r="AA33" s="2">
        <f>C66*((D66*D29+E66*E29+F66*G29)/1000)</f>
        <v>0</v>
      </c>
      <c r="AB33" s="2">
        <f>AA33/AA50</f>
        <v>0</v>
      </c>
      <c r="AD33" s="2">
        <f>IF(B43="carcass weight",B44*(E34/100),B44/(E34/100))</f>
        <v>458.2111436950147</v>
      </c>
    </row>
    <row r="34" spans="1:39" ht="15.75" x14ac:dyDescent="0.25">
      <c r="A34" s="267" t="s">
        <v>235</v>
      </c>
      <c r="B34" s="43"/>
      <c r="C34" s="38"/>
      <c r="D34" s="46"/>
      <c r="E34" s="58">
        <v>54.56</v>
      </c>
      <c r="F34" s="46"/>
      <c r="G34" s="58">
        <v>54.56</v>
      </c>
      <c r="H34" s="42"/>
      <c r="I34" s="25"/>
      <c r="J34" s="1"/>
      <c r="K34" s="24">
        <f>AA13</f>
        <v>22262.5</v>
      </c>
      <c r="L34" s="1"/>
      <c r="AA34" s="2">
        <f>(D67*D29+E67*E29+F67*G29)/D16</f>
        <v>25</v>
      </c>
      <c r="AD34" s="2" t="str">
        <f>IF(B43="Poids en carcasse", AD31,AD32)</f>
        <v>Poids vif</v>
      </c>
    </row>
    <row r="35" spans="1:39" ht="15.75" x14ac:dyDescent="0.25">
      <c r="A35" s="40" t="s">
        <v>107</v>
      </c>
      <c r="B35" s="43"/>
      <c r="C35" s="43"/>
      <c r="D35" s="58">
        <v>7.5</v>
      </c>
      <c r="E35" s="58">
        <v>2.5</v>
      </c>
      <c r="F35" s="49"/>
      <c r="G35" s="58">
        <v>5</v>
      </c>
      <c r="H35" s="42"/>
      <c r="I35" s="25"/>
      <c r="J35" s="7">
        <f>AA24</f>
        <v>0.92500000000000004</v>
      </c>
      <c r="K35" s="24">
        <f>AA25</f>
        <v>70039.240449584191</v>
      </c>
      <c r="L35" s="1"/>
      <c r="AA35" s="2">
        <f>C67*((D67*D29+E67*E29+F67*G29)/1000)</f>
        <v>8937.5</v>
      </c>
      <c r="AB35" s="2">
        <f>AA35/AA50</f>
        <v>15.246015246015245</v>
      </c>
    </row>
    <row r="36" spans="1:39" ht="15" customHeight="1" x14ac:dyDescent="0.25">
      <c r="A36" s="40" t="s">
        <v>108</v>
      </c>
      <c r="B36" s="36"/>
      <c r="C36" s="36"/>
      <c r="D36" s="69">
        <v>1.75</v>
      </c>
      <c r="E36" s="58">
        <v>3.5</v>
      </c>
      <c r="F36" s="46"/>
      <c r="G36" s="58">
        <v>3.5</v>
      </c>
      <c r="H36" s="42"/>
      <c r="I36" s="26"/>
      <c r="J36" s="1"/>
      <c r="K36" s="24">
        <f>AA26</f>
        <v>3224.203125</v>
      </c>
      <c r="L36" s="1"/>
      <c r="AA36" s="2">
        <f>(D68*D29+E68*E29+F68*G29)/D16</f>
        <v>152.625</v>
      </c>
    </row>
    <row r="37" spans="1:39" ht="15.75" hidden="1" x14ac:dyDescent="0.25">
      <c r="A37" s="172" t="s">
        <v>8</v>
      </c>
      <c r="B37" s="178"/>
      <c r="C37" s="178"/>
      <c r="D37" s="139">
        <v>0</v>
      </c>
      <c r="E37" s="180">
        <f>AA10</f>
        <v>100</v>
      </c>
      <c r="F37" s="178"/>
      <c r="G37" s="180"/>
      <c r="H37" s="189"/>
      <c r="I37" s="25"/>
      <c r="J37" s="7">
        <f>AA27</f>
        <v>0.97499999999999998</v>
      </c>
      <c r="K37" s="24">
        <f>AA28</f>
        <v>35293.28125</v>
      </c>
      <c r="L37" s="1"/>
      <c r="AA37" s="2">
        <f>C68*((D68*D29+E68*E29+F68*G29)/1000)</f>
        <v>62003.90625</v>
      </c>
      <c r="AB37" s="2">
        <f>AA37/AA50</f>
        <v>105.76923076923077</v>
      </c>
    </row>
    <row r="38" spans="1:39" ht="15.75" x14ac:dyDescent="0.25">
      <c r="A38" s="40" t="s">
        <v>109</v>
      </c>
      <c r="B38" s="50"/>
      <c r="C38" s="47"/>
      <c r="D38" s="62">
        <f>AA11</f>
        <v>112</v>
      </c>
      <c r="E38" s="62">
        <f>AA12</f>
        <v>114.28571428571429</v>
      </c>
      <c r="F38" s="36"/>
      <c r="G38" s="62">
        <f>AA15</f>
        <v>114.28571428571429</v>
      </c>
      <c r="H38" s="42"/>
      <c r="I38" s="25"/>
      <c r="J38" s="1"/>
      <c r="K38" s="25"/>
      <c r="L38" s="1"/>
      <c r="AA38" s="3" t="e">
        <f>H84-I53-J53+K58</f>
        <v>#REF!</v>
      </c>
      <c r="AB38" s="3"/>
    </row>
    <row r="39" spans="1:39" ht="15.75" x14ac:dyDescent="0.25">
      <c r="A39" s="267" t="s">
        <v>259</v>
      </c>
      <c r="B39" s="50"/>
      <c r="C39" s="47"/>
      <c r="D39" s="62"/>
      <c r="E39" s="62">
        <f>E31*E34/100</f>
        <v>381.92</v>
      </c>
      <c r="F39" s="36"/>
      <c r="G39" s="62">
        <f>G31*G34/100</f>
        <v>381.92</v>
      </c>
      <c r="H39" s="42"/>
      <c r="I39" s="25"/>
      <c r="J39" s="1"/>
      <c r="K39" s="25"/>
      <c r="L39" s="1"/>
      <c r="AA39" s="2">
        <f>(D69*D29+E69*E29+F69*G29)/D16</f>
        <v>62.375</v>
      </c>
      <c r="AF39" s="2" t="s">
        <v>72</v>
      </c>
      <c r="AI39" s="2" t="s">
        <v>73</v>
      </c>
      <c r="AL39" s="2" t="s">
        <v>79</v>
      </c>
      <c r="AM39" s="2" t="s">
        <v>80</v>
      </c>
    </row>
    <row r="40" spans="1:39" ht="15.75" x14ac:dyDescent="0.25">
      <c r="A40" s="267" t="s">
        <v>261</v>
      </c>
      <c r="B40" s="50"/>
      <c r="C40" s="47"/>
      <c r="D40" s="62"/>
      <c r="E40" s="62">
        <f>E32/(E34/100)</f>
        <v>249.26686217008799</v>
      </c>
      <c r="F40" s="203"/>
      <c r="G40" s="62">
        <f>G32/(G34/100)</f>
        <v>249.26686217008799</v>
      </c>
      <c r="H40" s="42"/>
      <c r="I40" s="25"/>
      <c r="J40" s="1"/>
      <c r="K40" s="25"/>
      <c r="L40" s="1"/>
      <c r="AA40" s="2">
        <f>C69*((D69*D29+E69*E29+F69*G29)/1000)</f>
        <v>26353.437500000004</v>
      </c>
      <c r="AB40" s="2">
        <f>AA40/AA50</f>
        <v>44.954954954954964</v>
      </c>
      <c r="AD40" s="71" t="s">
        <v>9</v>
      </c>
      <c r="AE40" s="43"/>
      <c r="AF40" s="2" t="s">
        <v>2</v>
      </c>
      <c r="AG40" s="2" t="s">
        <v>3</v>
      </c>
      <c r="AH40" s="2" t="s">
        <v>74</v>
      </c>
      <c r="AI40" s="2" t="s">
        <v>2</v>
      </c>
      <c r="AJ40" s="2" t="s">
        <v>3</v>
      </c>
      <c r="AK40" s="2" t="s">
        <v>74</v>
      </c>
    </row>
    <row r="41" spans="1:39" ht="16.5" thickBot="1" x14ac:dyDescent="0.3">
      <c r="A41" s="40"/>
      <c r="B41" s="50"/>
      <c r="C41" s="47"/>
      <c r="D41" s="62"/>
      <c r="E41" s="62"/>
      <c r="F41" s="36"/>
      <c r="G41" s="62"/>
      <c r="H41" s="42"/>
      <c r="I41" s="25"/>
      <c r="J41" s="1"/>
      <c r="K41" s="25"/>
      <c r="L41" s="1"/>
      <c r="AA41" s="2">
        <f>(D70*D29+E70*E29+F70*G29)/D16</f>
        <v>700.5</v>
      </c>
      <c r="AD41" s="199">
        <f>AVERAGE(AL41,AM41)*100</f>
        <v>68.095238095238102</v>
      </c>
      <c r="AE41" s="37" t="s">
        <v>10</v>
      </c>
      <c r="AF41" s="2">
        <f>ABS((C48-D35)/D35)</f>
        <v>0.53333333333333333</v>
      </c>
      <c r="AG41" s="2">
        <f>ABS((D48-E35)/E35)</f>
        <v>0.6</v>
      </c>
      <c r="AH41" s="2">
        <f>ABS((E48-G35)/G35)</f>
        <v>0.4</v>
      </c>
      <c r="AI41" s="2">
        <f>ABS((F48-D35)/D35)</f>
        <v>0.66666666666666663</v>
      </c>
      <c r="AJ41" s="198">
        <f>ABS((G48-E35)/E35)</f>
        <v>0.6</v>
      </c>
      <c r="AK41" s="2">
        <f>ABS((H48-G36)/G36)</f>
        <v>1.2857142857142858</v>
      </c>
      <c r="AL41" s="2">
        <f>AVERAGE(AF41:AH41)</f>
        <v>0.51111111111111107</v>
      </c>
      <c r="AM41" s="2">
        <f>AVERAGE(AI41:AK41)</f>
        <v>0.85079365079365077</v>
      </c>
    </row>
    <row r="42" spans="1:39" ht="15.75" x14ac:dyDescent="0.25">
      <c r="A42" s="274" t="s">
        <v>175</v>
      </c>
      <c r="B42" s="277"/>
      <c r="C42" s="278"/>
      <c r="D42" s="279"/>
      <c r="E42" s="62"/>
      <c r="F42" s="36"/>
      <c r="G42" s="62"/>
      <c r="H42" s="42"/>
      <c r="I42" s="26"/>
      <c r="J42" s="1"/>
      <c r="K42" s="25"/>
      <c r="L42" s="1"/>
      <c r="AA42" s="2">
        <f>C70*((D70*D29+E70*E29+F70*G29)/1000)</f>
        <v>91065</v>
      </c>
      <c r="AB42" s="2">
        <f>AA42/AA50</f>
        <v>155.34303534303535</v>
      </c>
      <c r="AD42" s="225">
        <f>AVERAGE(AL42,AM42)*100</f>
        <v>77.536764705882348</v>
      </c>
      <c r="AE42" s="37" t="s">
        <v>10</v>
      </c>
      <c r="AF42" s="2">
        <f>ABS((C49-D24)/D24)</f>
        <v>0.05</v>
      </c>
      <c r="AH42" s="2">
        <f>ABS((E49-G32)/G32)</f>
        <v>0.4264705882352941</v>
      </c>
      <c r="AI42" s="2">
        <f>ABS((F49-D24)/D24)</f>
        <v>1.9166666666666667</v>
      </c>
      <c r="AK42" s="2">
        <f>ABS((H49-E24)/E24)</f>
        <v>0.70833333333333337</v>
      </c>
      <c r="AL42" s="2">
        <f>AVERAGE(AF42:AH42)</f>
        <v>0.23823529411764705</v>
      </c>
      <c r="AM42" s="2">
        <f>AVERAGE(AI42:AK42)</f>
        <v>1.3125</v>
      </c>
    </row>
    <row r="43" spans="1:39" ht="15.75" x14ac:dyDescent="0.25">
      <c r="A43" s="275" t="s">
        <v>172</v>
      </c>
      <c r="B43" s="58" t="s">
        <v>260</v>
      </c>
      <c r="C43" s="280"/>
      <c r="D43" s="281" t="str">
        <f>AD34</f>
        <v>Poids vif</v>
      </c>
      <c r="E43" s="62"/>
      <c r="F43" s="36"/>
      <c r="G43" s="62"/>
      <c r="H43" s="42"/>
      <c r="I43" s="26"/>
      <c r="J43" s="1"/>
      <c r="K43" s="26"/>
      <c r="L43" s="1"/>
      <c r="AA43" s="2">
        <f>O73*D37/100</f>
        <v>0</v>
      </c>
      <c r="AD43" s="225">
        <f>AVERAGE(AL43,AM43)*100</f>
        <v>21.323529411764707</v>
      </c>
      <c r="AE43" s="37" t="s">
        <v>10</v>
      </c>
      <c r="AG43" s="2">
        <f>ABS((D50-E32)/E32)</f>
        <v>0.21323529411764705</v>
      </c>
      <c r="AH43" s="2">
        <f>ABS((E50-G32)/G32)</f>
        <v>0.21323529411764705</v>
      </c>
      <c r="AJ43" s="2">
        <f>ABS((G50-E32)/E32)</f>
        <v>0.21323529411764705</v>
      </c>
      <c r="AK43" s="2">
        <f>ABS((H50-G32)/G32)</f>
        <v>0.21323529411764705</v>
      </c>
      <c r="AL43" s="2">
        <f>AVERAGE(AF43:AH43)</f>
        <v>0.21323529411764705</v>
      </c>
      <c r="AM43" s="2">
        <f>AVERAGE(AI43:AK43)</f>
        <v>0.21323529411764705</v>
      </c>
    </row>
    <row r="44" spans="1:39" ht="16.5" thickBot="1" x14ac:dyDescent="0.3">
      <c r="A44" s="276" t="s">
        <v>173</v>
      </c>
      <c r="B44" s="58">
        <v>250</v>
      </c>
      <c r="C44" s="282" t="s">
        <v>85</v>
      </c>
      <c r="D44" s="283">
        <f>AD33</f>
        <v>458.2111436950147</v>
      </c>
      <c r="E44" s="62"/>
      <c r="F44" s="36"/>
      <c r="G44" s="62"/>
      <c r="H44" s="42"/>
      <c r="I44" s="26"/>
      <c r="J44" s="9"/>
      <c r="K44" s="26"/>
      <c r="L44" s="1"/>
      <c r="AA44" s="2">
        <f>O73*F37/100</f>
        <v>0</v>
      </c>
      <c r="AD44" s="200">
        <f>AVERAGE(AL44,AM44)*100</f>
        <v>25.714285714285719</v>
      </c>
      <c r="AE44" s="37" t="s">
        <v>10</v>
      </c>
      <c r="AF44" s="2">
        <f>ABS((C51-D36)/D36)</f>
        <v>0.20000000000000004</v>
      </c>
      <c r="AG44" s="2">
        <f>ABS((D51-E36)/E36)</f>
        <v>0.2857142857142857</v>
      </c>
      <c r="AH44" s="2">
        <f>ABS((E51-G36)/G36)</f>
        <v>0.2857142857142857</v>
      </c>
      <c r="AI44" s="6">
        <f>ABS((F51-D36)/D36)</f>
        <v>0.20000000000000004</v>
      </c>
      <c r="AJ44" s="2">
        <f>ABS((G51-E36)/E36)</f>
        <v>0.2857142857142857</v>
      </c>
      <c r="AK44" s="2">
        <f>ABS((H51-G36)/G36)</f>
        <v>0.2857142857142857</v>
      </c>
      <c r="AL44" s="2">
        <f>AVERAGE(AF44:AH44)</f>
        <v>0.25714285714285717</v>
      </c>
      <c r="AM44" s="2">
        <f>AVERAGE(AI44:AK44)</f>
        <v>0.25714285714285717</v>
      </c>
    </row>
    <row r="45" spans="1:39" ht="15.75" x14ac:dyDescent="0.25">
      <c r="A45" s="40"/>
      <c r="B45" s="36"/>
      <c r="C45" s="46"/>
      <c r="D45" s="49"/>
      <c r="E45" s="70"/>
      <c r="F45" s="49"/>
      <c r="G45" s="50"/>
      <c r="H45" s="48"/>
      <c r="I45" s="26"/>
      <c r="J45" s="9"/>
      <c r="K45" s="26"/>
      <c r="L45" s="1"/>
      <c r="AA45" s="2">
        <f>E29*(1-E35/100)</f>
        <v>586.21875</v>
      </c>
      <c r="AC45" s="2" t="s">
        <v>75</v>
      </c>
    </row>
    <row r="46" spans="1:39" ht="15.75" x14ac:dyDescent="0.25">
      <c r="A46" s="270" t="s">
        <v>174</v>
      </c>
      <c r="B46" s="32"/>
      <c r="C46" s="182" t="s">
        <v>149</v>
      </c>
      <c r="D46" s="110"/>
      <c r="E46" s="190"/>
      <c r="F46" s="193" t="s">
        <v>150</v>
      </c>
      <c r="G46" s="111"/>
      <c r="H46" s="184"/>
      <c r="I46" s="26"/>
      <c r="J46" s="9"/>
      <c r="K46" s="26"/>
      <c r="L46" s="1"/>
      <c r="AA46" s="2">
        <f>G29*(1-G35/100)</f>
        <v>0</v>
      </c>
      <c r="AC46" s="2" t="s">
        <v>76</v>
      </c>
    </row>
    <row r="47" spans="1:39" ht="15.75" x14ac:dyDescent="0.25">
      <c r="A47" s="66"/>
      <c r="B47" s="68"/>
      <c r="C47" s="183" t="s">
        <v>103</v>
      </c>
      <c r="D47" s="169" t="s">
        <v>104</v>
      </c>
      <c r="E47" s="284" t="s">
        <v>164</v>
      </c>
      <c r="F47" s="194" t="s">
        <v>103</v>
      </c>
      <c r="G47" s="169" t="s">
        <v>104</v>
      </c>
      <c r="H47" s="285" t="s">
        <v>164</v>
      </c>
      <c r="I47" s="26"/>
      <c r="J47" s="9"/>
      <c r="K47" s="26"/>
      <c r="L47" s="1"/>
      <c r="AA47" s="2">
        <f>AA45*E31</f>
        <v>410353.125</v>
      </c>
      <c r="AC47" s="2" t="s">
        <v>77</v>
      </c>
    </row>
    <row r="48" spans="1:39" ht="15.75" x14ac:dyDescent="0.25">
      <c r="A48" s="40" t="s">
        <v>105</v>
      </c>
      <c r="B48" s="36"/>
      <c r="C48" s="185">
        <v>3.5</v>
      </c>
      <c r="D48" s="185">
        <v>1</v>
      </c>
      <c r="E48" s="191">
        <v>3</v>
      </c>
      <c r="F48" s="195">
        <v>12.5</v>
      </c>
      <c r="G48" s="185">
        <v>4</v>
      </c>
      <c r="H48" s="185">
        <v>8</v>
      </c>
      <c r="I48" s="26"/>
      <c r="J48" s="9"/>
      <c r="K48" s="26"/>
      <c r="L48" s="1"/>
      <c r="AA48" s="2">
        <f>AA46*G31</f>
        <v>0</v>
      </c>
      <c r="AC48" s="2" t="s">
        <v>78</v>
      </c>
    </row>
    <row r="49" spans="1:33" ht="15.75" x14ac:dyDescent="0.25">
      <c r="A49" s="40" t="s">
        <v>240</v>
      </c>
      <c r="B49" s="36"/>
      <c r="C49" s="185">
        <v>114</v>
      </c>
      <c r="D49" s="186"/>
      <c r="E49" s="191">
        <v>78</v>
      </c>
      <c r="F49" s="195">
        <v>350</v>
      </c>
      <c r="G49" s="186"/>
      <c r="H49" s="191">
        <v>205</v>
      </c>
      <c r="I49" s="26"/>
      <c r="J49" s="9"/>
      <c r="K49" s="26"/>
      <c r="L49" s="1"/>
      <c r="AA49" s="2">
        <f>D23*D24/100</f>
        <v>124.8</v>
      </c>
      <c r="AC49" s="202" t="s">
        <v>82</v>
      </c>
    </row>
    <row r="50" spans="1:33" ht="15.75" x14ac:dyDescent="0.25">
      <c r="A50" s="40" t="s">
        <v>106</v>
      </c>
      <c r="B50" s="36"/>
      <c r="C50" s="186"/>
      <c r="D50" s="185">
        <v>165</v>
      </c>
      <c r="E50" s="185">
        <v>165</v>
      </c>
      <c r="F50" s="196"/>
      <c r="G50" s="185">
        <v>107</v>
      </c>
      <c r="H50" s="185">
        <v>107</v>
      </c>
      <c r="I50" s="26"/>
      <c r="J50" s="9"/>
      <c r="K50" s="26"/>
      <c r="L50" s="1"/>
      <c r="AA50" s="23">
        <f>SUM(C55:C56)</f>
        <v>586.21875</v>
      </c>
      <c r="AC50" s="2" t="s">
        <v>81</v>
      </c>
    </row>
    <row r="51" spans="1:33" ht="15.75" x14ac:dyDescent="0.25">
      <c r="A51" s="40" t="s">
        <v>241</v>
      </c>
      <c r="B51" s="36"/>
      <c r="C51" s="168">
        <v>2.1</v>
      </c>
      <c r="D51" s="168">
        <v>4.5</v>
      </c>
      <c r="E51" s="192">
        <v>4.5</v>
      </c>
      <c r="F51" s="197">
        <v>1.4</v>
      </c>
      <c r="G51" s="168">
        <v>2.5</v>
      </c>
      <c r="H51" s="168">
        <v>2.5</v>
      </c>
      <c r="I51" s="26"/>
      <c r="J51" s="9"/>
      <c r="K51" s="26"/>
      <c r="L51" s="1"/>
      <c r="AA51" s="2">
        <f>AA52/AA50</f>
        <v>952</v>
      </c>
      <c r="AB51" s="8"/>
    </row>
    <row r="52" spans="1:33" ht="15.75" x14ac:dyDescent="0.25">
      <c r="A52" s="174"/>
      <c r="B52" s="175"/>
      <c r="C52" s="175"/>
      <c r="D52" s="175"/>
      <c r="E52" s="175"/>
      <c r="F52" s="175"/>
      <c r="G52" s="176"/>
      <c r="H52" s="177"/>
      <c r="I52" s="26"/>
      <c r="J52" s="9"/>
      <c r="K52" s="26"/>
      <c r="L52" s="1"/>
      <c r="AA52" s="2">
        <f>(AA47*E32/100)+(AA48*G32/100)+H57</f>
        <v>558080.25</v>
      </c>
      <c r="AB52" s="2">
        <f>AA47*E32/100</f>
        <v>558080.25</v>
      </c>
      <c r="AC52" s="2">
        <f>AB52/D14</f>
        <v>858.58500000000004</v>
      </c>
    </row>
    <row r="53" spans="1:33" ht="15.75" x14ac:dyDescent="0.25">
      <c r="A53" s="267" t="s">
        <v>176</v>
      </c>
      <c r="B53" s="268"/>
      <c r="C53" s="268"/>
      <c r="D53" s="268"/>
      <c r="E53" s="36"/>
      <c r="F53" s="36"/>
      <c r="G53" s="37"/>
      <c r="H53" s="72"/>
      <c r="I53" s="24">
        <f>AA29</f>
        <v>115212.5</v>
      </c>
      <c r="J53" s="10" t="e">
        <f>#REF!</f>
        <v>#REF!</v>
      </c>
      <c r="K53" s="24" t="e">
        <f>AA38</f>
        <v>#REF!</v>
      </c>
      <c r="L53" s="1"/>
      <c r="AA53" s="8">
        <f>O73*E37/100</f>
        <v>0</v>
      </c>
      <c r="AB53" s="2">
        <f>AA48*G32/100</f>
        <v>0</v>
      </c>
      <c r="AC53" s="2" t="e">
        <f>AB53/D15</f>
        <v>#DIV/0!</v>
      </c>
    </row>
    <row r="54" spans="1:33" ht="18.75" x14ac:dyDescent="0.25">
      <c r="A54" s="267"/>
      <c r="B54" s="268"/>
      <c r="C54" s="286" t="s">
        <v>203</v>
      </c>
      <c r="D54" s="268" t="s">
        <v>204</v>
      </c>
      <c r="E54" s="201"/>
      <c r="F54" s="36"/>
      <c r="G54" s="204" t="s">
        <v>129</v>
      </c>
      <c r="H54" s="188" t="s">
        <v>130</v>
      </c>
      <c r="I54" s="25"/>
      <c r="J54" s="1"/>
      <c r="K54" s="25"/>
      <c r="L54" s="1">
        <f>ROUND(H65/$D$16,0)</f>
        <v>126</v>
      </c>
      <c r="AA54" s="2">
        <f ca="1">IF(K28=0,0,HLOOKUP(A2,INDIRECT(K28),12, FALSE)/O72)</f>
        <v>0</v>
      </c>
    </row>
    <row r="55" spans="1:33" ht="15.75" x14ac:dyDescent="0.25">
      <c r="A55" s="267" t="s">
        <v>178</v>
      </c>
      <c r="B55" s="268" t="s">
        <v>168</v>
      </c>
      <c r="C55" s="287">
        <f>AA45</f>
        <v>586.21875</v>
      </c>
      <c r="D55" s="287">
        <f>AA47</f>
        <v>410353.125</v>
      </c>
      <c r="E55" s="36"/>
      <c r="F55" s="36"/>
      <c r="G55" s="171"/>
      <c r="H55" s="72">
        <f>AB52</f>
        <v>558080.25</v>
      </c>
      <c r="I55" s="26"/>
      <c r="J55" s="1"/>
      <c r="K55" s="25"/>
      <c r="L55" s="1">
        <f>ROUND(H66/$D$16,0)</f>
        <v>0</v>
      </c>
      <c r="AA55" s="8">
        <f ca="1">AG71*D16</f>
        <v>0</v>
      </c>
      <c r="AB55" s="2">
        <f>AA58/AA50</f>
        <v>0</v>
      </c>
    </row>
    <row r="56" spans="1:33" ht="15.75" x14ac:dyDescent="0.25">
      <c r="A56" s="267"/>
      <c r="B56" s="268" t="s">
        <v>164</v>
      </c>
      <c r="C56" s="287">
        <f>AA46</f>
        <v>0</v>
      </c>
      <c r="D56" s="287">
        <f>AA48</f>
        <v>0</v>
      </c>
      <c r="E56" s="36"/>
      <c r="F56" s="36"/>
      <c r="G56" s="171"/>
      <c r="H56" s="72">
        <f>AB53</f>
        <v>0</v>
      </c>
      <c r="I56" s="26"/>
      <c r="J56" s="1"/>
      <c r="K56" s="25"/>
      <c r="L56" s="1">
        <f>ROUND(H67/$D$16,0)</f>
        <v>14</v>
      </c>
      <c r="AA56" s="2">
        <f>(D78*D29+E78*E29+F78*G29)/D16</f>
        <v>0</v>
      </c>
    </row>
    <row r="57" spans="1:33" ht="47.25" x14ac:dyDescent="0.25">
      <c r="A57" s="288" t="s">
        <v>179</v>
      </c>
      <c r="B57" s="268"/>
      <c r="C57" s="287"/>
      <c r="D57" s="287"/>
      <c r="E57" s="36"/>
      <c r="F57" s="36"/>
      <c r="G57" s="187">
        <f>H57/AA50</f>
        <v>0</v>
      </c>
      <c r="H57" s="233">
        <v>0</v>
      </c>
      <c r="I57" s="26"/>
      <c r="J57" s="1"/>
      <c r="K57" s="25"/>
      <c r="L57" s="1"/>
    </row>
    <row r="58" spans="1:33" ht="15.75" x14ac:dyDescent="0.25">
      <c r="A58" s="267"/>
      <c r="B58" s="268"/>
      <c r="C58" s="287"/>
      <c r="D58" s="287"/>
      <c r="E58" s="36"/>
      <c r="F58" s="36"/>
      <c r="G58" s="59" t="s">
        <v>15</v>
      </c>
      <c r="H58" s="81" t="s">
        <v>15</v>
      </c>
      <c r="I58" s="24">
        <f>AA43</f>
        <v>0</v>
      </c>
      <c r="J58" s="10">
        <f>AA44</f>
        <v>0</v>
      </c>
      <c r="K58" s="24">
        <f>AA53</f>
        <v>0</v>
      </c>
      <c r="L58" s="1">
        <f>ROUND(H68/$D$16,0)</f>
        <v>95</v>
      </c>
      <c r="AA58" s="2">
        <f>IF(D14=0,C78*((F78*G29)/1000),IF(D15=0,C78*((D78*D29+E78*E29)/1000),C78*((D78*D29+E78*E29+F78*G29)/1000)))</f>
        <v>0</v>
      </c>
      <c r="AB58" s="2">
        <f>AA60/AA50</f>
        <v>3.2016632016632016</v>
      </c>
    </row>
    <row r="59" spans="1:33" ht="15.75" x14ac:dyDescent="0.25">
      <c r="A59" s="267" t="s">
        <v>177</v>
      </c>
      <c r="B59" s="268"/>
      <c r="C59" s="268"/>
      <c r="D59" s="268"/>
      <c r="E59" s="36"/>
      <c r="F59" s="36"/>
      <c r="G59" s="171">
        <f>AA51</f>
        <v>952</v>
      </c>
      <c r="H59" s="72">
        <f>AA52</f>
        <v>558080.25</v>
      </c>
      <c r="I59" s="26"/>
      <c r="J59" s="1"/>
      <c r="K59" s="25"/>
      <c r="L59" s="1">
        <f>ROUND(H69/$D$16,0)</f>
        <v>41</v>
      </c>
      <c r="AA59" s="2">
        <f>(D79*D29+E79*E29+F79*G29)/D16</f>
        <v>19.25</v>
      </c>
    </row>
    <row r="60" spans="1:33" ht="15.75" x14ac:dyDescent="0.25">
      <c r="A60" s="73"/>
      <c r="B60" s="74"/>
      <c r="C60" s="74"/>
      <c r="D60" s="74"/>
      <c r="E60" s="74"/>
      <c r="F60" s="75"/>
      <c r="G60" s="76"/>
      <c r="H60" s="77"/>
      <c r="I60" s="26"/>
      <c r="J60" s="1"/>
      <c r="K60" s="25"/>
      <c r="L60" s="1">
        <f>ROUND(H70/$D$16,0)</f>
        <v>140</v>
      </c>
      <c r="AA60" s="2">
        <f>IF(D14=0,C79*((F79*G29)/1000),IF(D15=0,C79*((D79*D29+E79*E29)/1000),C79*((D79*D29+E79*E29+F79*G29)/1000)))</f>
        <v>1876.875</v>
      </c>
      <c r="AB60" s="2">
        <f>AA62/AA50</f>
        <v>0</v>
      </c>
      <c r="AG60" s="59" t="s">
        <v>11</v>
      </c>
    </row>
    <row r="61" spans="1:33" ht="15.75" x14ac:dyDescent="0.25">
      <c r="A61" s="40" t="s">
        <v>112</v>
      </c>
      <c r="B61" s="36"/>
      <c r="C61" s="36"/>
      <c r="D61" s="36"/>
      <c r="E61" s="36"/>
      <c r="F61" s="36"/>
      <c r="G61" s="36"/>
      <c r="H61" s="42"/>
      <c r="I61" s="25"/>
      <c r="J61" s="1"/>
      <c r="K61" s="25"/>
      <c r="L61" s="1">
        <f>SUM(L54:L60)</f>
        <v>416</v>
      </c>
      <c r="AA61" s="2">
        <f>(D80*D29+E80*E29+F80*G29)/D16</f>
        <v>0</v>
      </c>
      <c r="AC61" s="2" t="s">
        <v>87</v>
      </c>
      <c r="AG61" s="59" t="s">
        <v>13</v>
      </c>
    </row>
    <row r="62" spans="1:33" ht="15.75" x14ac:dyDescent="0.25">
      <c r="A62" s="40" t="s">
        <v>242</v>
      </c>
      <c r="B62" s="36"/>
      <c r="C62" s="78"/>
      <c r="D62" s="93" t="s">
        <v>158</v>
      </c>
      <c r="E62" s="79"/>
      <c r="F62" s="79"/>
      <c r="G62" s="101"/>
      <c r="H62" s="80"/>
      <c r="I62" s="26"/>
      <c r="J62" s="1"/>
      <c r="K62" s="25"/>
      <c r="L62" s="1"/>
      <c r="AA62" s="2">
        <f>IF(D14=0,C80*((F80*G29)/1000),IF(D15=0,C80*((D80*D29+E80*E29)/1000),C80*((D80*D29+E80*E29+F80*G29)/1000)))</f>
        <v>0</v>
      </c>
      <c r="AB62" s="2">
        <f>AA64/AA50</f>
        <v>0</v>
      </c>
      <c r="AC62" s="2" t="s">
        <v>2</v>
      </c>
      <c r="AD62" s="2" t="s">
        <v>3</v>
      </c>
      <c r="AE62" s="2" t="s">
        <v>74</v>
      </c>
      <c r="AG62" s="59" t="s">
        <v>15</v>
      </c>
    </row>
    <row r="63" spans="1:33" ht="15.75" x14ac:dyDescent="0.25">
      <c r="A63" s="56"/>
      <c r="B63" s="36"/>
      <c r="C63" s="170" t="s">
        <v>160</v>
      </c>
      <c r="D63" s="59" t="s">
        <v>103</v>
      </c>
      <c r="E63" s="59" t="s">
        <v>104</v>
      </c>
      <c r="F63" s="269" t="s">
        <v>164</v>
      </c>
      <c r="G63" s="204" t="s">
        <v>129</v>
      </c>
      <c r="H63" s="81" t="s">
        <v>130</v>
      </c>
      <c r="I63" s="26"/>
      <c r="J63" s="1"/>
      <c r="K63" s="25"/>
      <c r="L63" s="1"/>
      <c r="AA63" s="2">
        <f>(D81*D29+E81*E29+F81*G29)/D16</f>
        <v>0</v>
      </c>
      <c r="AC63" s="2">
        <f t="shared" ref="AC63:AC68" si="0">C65/1000*D65</f>
        <v>126</v>
      </c>
      <c r="AD63" s="2">
        <f t="shared" ref="AD63:AD68" si="1">C65*E65/1000</f>
        <v>0</v>
      </c>
      <c r="AE63" s="2">
        <f t="shared" ref="AE63:AE68" si="2">C65/1000*F65</f>
        <v>0</v>
      </c>
      <c r="AF63" s="2">
        <f t="shared" ref="AF63:AF68" si="3">IF($D$14=0,AE63*$G$29,IF($D$15=0,(AC63*$D$29)+($E$29*AD63),(AC63*$D$29)+($E$29*AD63)+(AE63*$G$29)))</f>
        <v>81900</v>
      </c>
      <c r="AG63" s="62">
        <f>AA30</f>
        <v>35</v>
      </c>
    </row>
    <row r="64" spans="1:33" ht="15.75" x14ac:dyDescent="0.25">
      <c r="A64" s="40" t="s">
        <v>157</v>
      </c>
      <c r="B64" s="36"/>
      <c r="C64" s="59" t="s">
        <v>15</v>
      </c>
      <c r="D64" s="59" t="s">
        <v>15</v>
      </c>
      <c r="E64" s="59" t="s">
        <v>15</v>
      </c>
      <c r="F64" s="59" t="s">
        <v>15</v>
      </c>
      <c r="G64" s="59" t="s">
        <v>15</v>
      </c>
      <c r="H64" s="81" t="s">
        <v>15</v>
      </c>
      <c r="I64" s="26"/>
      <c r="J64" s="1"/>
      <c r="K64" s="25"/>
      <c r="L64" s="1"/>
      <c r="AA64" s="2">
        <f>IF(D14=0,C81*((F81*G29)/1000),IF(D15=0,C81*((D81*D29+E81*E29)/1000),C81*((D81*D29+E81*E29+F81*G29)/1000)))</f>
        <v>0</v>
      </c>
      <c r="AC64" s="2">
        <f t="shared" si="0"/>
        <v>0</v>
      </c>
      <c r="AD64" s="2">
        <f t="shared" si="1"/>
        <v>0</v>
      </c>
      <c r="AE64" s="2">
        <f t="shared" si="2"/>
        <v>0</v>
      </c>
      <c r="AF64" s="2">
        <f t="shared" si="3"/>
        <v>0</v>
      </c>
      <c r="AG64" s="62">
        <f>AA32</f>
        <v>0</v>
      </c>
    </row>
    <row r="65" spans="1:33" ht="15.75" x14ac:dyDescent="0.25">
      <c r="A65" s="94" t="s">
        <v>186</v>
      </c>
      <c r="B65" s="36"/>
      <c r="C65" s="257">
        <v>3600</v>
      </c>
      <c r="D65" s="257">
        <v>35</v>
      </c>
      <c r="E65" s="257">
        <v>0</v>
      </c>
      <c r="F65" s="257">
        <v>0</v>
      </c>
      <c r="G65" s="208">
        <f>AB31</f>
        <v>139.70893970893971</v>
      </c>
      <c r="H65" s="72">
        <f>AA31</f>
        <v>81900</v>
      </c>
      <c r="I65" s="26"/>
      <c r="J65" s="1"/>
      <c r="K65" s="25"/>
      <c r="L65" s="1"/>
      <c r="AA65" s="2">
        <f>SUM(D65:D71,D78:D81)</f>
        <v>190</v>
      </c>
      <c r="AC65" s="2">
        <f t="shared" si="0"/>
        <v>13.750000000000002</v>
      </c>
      <c r="AD65" s="2">
        <f t="shared" si="1"/>
        <v>0</v>
      </c>
      <c r="AE65" s="2">
        <f t="shared" si="2"/>
        <v>0</v>
      </c>
      <c r="AF65" s="2">
        <f t="shared" si="3"/>
        <v>8937.5000000000018</v>
      </c>
      <c r="AG65" s="62">
        <f>AA34</f>
        <v>25</v>
      </c>
    </row>
    <row r="66" spans="1:33" ht="15.75" x14ac:dyDescent="0.25">
      <c r="A66" s="289" t="s">
        <v>185</v>
      </c>
      <c r="B66" s="82"/>
      <c r="C66" s="257">
        <v>0</v>
      </c>
      <c r="D66" s="257">
        <v>0</v>
      </c>
      <c r="E66" s="257">
        <v>0</v>
      </c>
      <c r="F66" s="257">
        <v>0</v>
      </c>
      <c r="G66" s="208">
        <f>AB33</f>
        <v>0</v>
      </c>
      <c r="H66" s="72">
        <f>AA33</f>
        <v>0</v>
      </c>
      <c r="I66" s="25"/>
      <c r="J66" s="1"/>
      <c r="K66" s="25"/>
      <c r="L66" s="1"/>
      <c r="AA66" s="2">
        <f>SUM(E65:E71,E78:E81)</f>
        <v>870</v>
      </c>
      <c r="AB66" s="3"/>
      <c r="AC66" s="2">
        <f t="shared" si="0"/>
        <v>0</v>
      </c>
      <c r="AD66" s="2">
        <f t="shared" si="1"/>
        <v>103.125</v>
      </c>
      <c r="AE66" s="2">
        <f t="shared" si="2"/>
        <v>81.25</v>
      </c>
      <c r="AF66" s="2">
        <f t="shared" si="3"/>
        <v>62003.90625</v>
      </c>
      <c r="AG66" s="62">
        <f>AA36</f>
        <v>152.625</v>
      </c>
    </row>
    <row r="67" spans="1:33" ht="15.75" x14ac:dyDescent="0.25">
      <c r="A67" s="289" t="s">
        <v>180</v>
      </c>
      <c r="B67" s="82"/>
      <c r="C67" s="257">
        <v>550</v>
      </c>
      <c r="D67" s="257">
        <v>25</v>
      </c>
      <c r="E67" s="257">
        <v>0</v>
      </c>
      <c r="F67" s="257">
        <v>0</v>
      </c>
      <c r="G67" s="208">
        <f>AB35</f>
        <v>15.246015246015245</v>
      </c>
      <c r="H67" s="72">
        <f>AA35</f>
        <v>8937.5</v>
      </c>
      <c r="I67" s="25"/>
      <c r="J67" s="1"/>
      <c r="K67" s="25"/>
      <c r="L67" s="1"/>
      <c r="AA67" s="2">
        <f>SUM(F65:F70,F78:F81)</f>
        <v>840</v>
      </c>
      <c r="AB67" s="3"/>
      <c r="AC67" s="2">
        <f t="shared" si="0"/>
        <v>19.5</v>
      </c>
      <c r="AD67" s="2">
        <f t="shared" si="1"/>
        <v>22.75</v>
      </c>
      <c r="AE67" s="2">
        <f t="shared" si="2"/>
        <v>26</v>
      </c>
      <c r="AF67" s="2">
        <f t="shared" si="3"/>
        <v>26353.4375</v>
      </c>
      <c r="AG67" s="62">
        <f>AA39</f>
        <v>62.375</v>
      </c>
    </row>
    <row r="68" spans="1:33" ht="15.75" x14ac:dyDescent="0.25">
      <c r="A68" s="94" t="s">
        <v>184</v>
      </c>
      <c r="B68" s="82"/>
      <c r="C68" s="257">
        <v>625</v>
      </c>
      <c r="D68" s="257">
        <v>0</v>
      </c>
      <c r="E68" s="257">
        <v>165</v>
      </c>
      <c r="F68" s="257">
        <v>130</v>
      </c>
      <c r="G68" s="208">
        <f>AB37</f>
        <v>105.76923076923077</v>
      </c>
      <c r="H68" s="72">
        <f>AA37</f>
        <v>62003.90625</v>
      </c>
      <c r="I68" s="25"/>
      <c r="J68" s="1"/>
      <c r="K68" s="25"/>
      <c r="L68" s="1">
        <f>ROUND(H78/$D$16,0)</f>
        <v>0</v>
      </c>
      <c r="AA68" s="3">
        <f ca="1">SUM(AG63:AG69,AG76:AG79,AG71)</f>
        <v>994.75</v>
      </c>
      <c r="AC68" s="2">
        <f t="shared" si="0"/>
        <v>18</v>
      </c>
      <c r="AD68" s="2">
        <f t="shared" si="1"/>
        <v>132</v>
      </c>
      <c r="AE68" s="2">
        <f t="shared" si="2"/>
        <v>132</v>
      </c>
      <c r="AF68" s="2">
        <f t="shared" si="3"/>
        <v>91065</v>
      </c>
      <c r="AG68" s="62">
        <f>AA41</f>
        <v>700.5</v>
      </c>
    </row>
    <row r="69" spans="1:33" ht="15.75" x14ac:dyDescent="0.25">
      <c r="A69" s="289" t="s">
        <v>181</v>
      </c>
      <c r="B69" s="82"/>
      <c r="C69" s="257">
        <v>650</v>
      </c>
      <c r="D69" s="257">
        <v>30</v>
      </c>
      <c r="E69" s="257">
        <v>35</v>
      </c>
      <c r="F69" s="257">
        <v>40</v>
      </c>
      <c r="G69" s="208">
        <f>AB40</f>
        <v>44.954954954954964</v>
      </c>
      <c r="H69" s="72">
        <f>AA40</f>
        <v>26353.437500000004</v>
      </c>
      <c r="I69" s="25"/>
      <c r="J69" s="1"/>
      <c r="K69" s="25"/>
      <c r="L69" s="1"/>
      <c r="AA69" s="3">
        <f>SUM(H65:H71,H78:H81,O73)</f>
        <v>272136.71875</v>
      </c>
      <c r="AG69" s="50"/>
    </row>
    <row r="70" spans="1:33" ht="15.75" x14ac:dyDescent="0.25">
      <c r="A70" s="94" t="s">
        <v>182</v>
      </c>
      <c r="B70" s="82"/>
      <c r="C70" s="257">
        <v>200</v>
      </c>
      <c r="D70" s="257">
        <v>90</v>
      </c>
      <c r="E70" s="257">
        <v>660</v>
      </c>
      <c r="F70" s="257">
        <v>660</v>
      </c>
      <c r="G70" s="208">
        <f>AB42</f>
        <v>155.34303534303535</v>
      </c>
      <c r="H70" s="72">
        <f>AA42</f>
        <v>91065</v>
      </c>
      <c r="I70" s="26"/>
      <c r="J70" s="1"/>
      <c r="K70" s="25"/>
      <c r="L70" s="1"/>
      <c r="AA70" s="3">
        <f>AA69/AA50</f>
        <v>464.22383922383921</v>
      </c>
      <c r="AG70" s="49"/>
    </row>
    <row r="71" spans="1:33" ht="15.75" hidden="1" x14ac:dyDescent="0.25">
      <c r="A71" s="56"/>
      <c r="B71" s="36"/>
      <c r="C71" s="258"/>
      <c r="D71" s="258"/>
      <c r="E71" s="259"/>
      <c r="F71" s="259"/>
      <c r="G71" s="101"/>
      <c r="H71" s="42"/>
      <c r="I71" s="26"/>
      <c r="J71" s="1"/>
      <c r="K71" s="25"/>
      <c r="L71" s="1"/>
      <c r="AA71" s="2">
        <f>AA72/D16</f>
        <v>34.25</v>
      </c>
      <c r="AG71" s="62">
        <f ca="1">AA54</f>
        <v>0</v>
      </c>
    </row>
    <row r="72" spans="1:33" ht="15.75" hidden="1" x14ac:dyDescent="0.25">
      <c r="A72" s="40" t="s">
        <v>64</v>
      </c>
      <c r="B72" s="36"/>
      <c r="C72" s="258"/>
      <c r="D72" s="259"/>
      <c r="E72" s="259"/>
      <c r="F72" s="259"/>
      <c r="G72" s="101"/>
      <c r="H72" s="48"/>
      <c r="I72" s="26"/>
      <c r="J72" s="1"/>
      <c r="K72" s="25"/>
      <c r="L72" s="1"/>
      <c r="O72" s="1">
        <f>D16</f>
        <v>650</v>
      </c>
      <c r="P72" s="1" t="s">
        <v>16</v>
      </c>
      <c r="AA72" s="2">
        <f>IF(D14=0,(F92*G29),IF(D15=0,(D92*D29+E92*E29),(D92*D29+E92*E29+F92*G29)))</f>
        <v>22262.5</v>
      </c>
      <c r="AG72" s="87"/>
    </row>
    <row r="73" spans="1:33" ht="15.75" hidden="1" x14ac:dyDescent="0.25">
      <c r="A73" s="83"/>
      <c r="B73" s="84"/>
      <c r="C73" s="258"/>
      <c r="D73" s="259"/>
      <c r="E73" s="259"/>
      <c r="F73" s="260"/>
      <c r="G73" s="101"/>
      <c r="H73" s="48"/>
      <c r="I73" s="26"/>
      <c r="J73" s="1"/>
      <c r="K73" s="25"/>
      <c r="L73" s="1"/>
      <c r="O73" s="1">
        <v>0</v>
      </c>
      <c r="AA73" s="2">
        <f>AA74/D16</f>
        <v>0</v>
      </c>
      <c r="AG73" s="62" t="s">
        <v>11</v>
      </c>
    </row>
    <row r="74" spans="1:33" ht="15.75" hidden="1" x14ac:dyDescent="0.25">
      <c r="A74" s="86"/>
      <c r="B74" s="87"/>
      <c r="C74" s="261"/>
      <c r="D74" s="261"/>
      <c r="E74" s="261"/>
      <c r="F74" s="261"/>
      <c r="G74" s="101"/>
      <c r="H74" s="88"/>
      <c r="I74" s="26"/>
      <c r="J74" s="1"/>
      <c r="K74" s="25"/>
      <c r="L74" s="1"/>
      <c r="AA74" s="2">
        <f>IF(D14=0,(F93*G29),IF(D15=0,(D93*D29+E93*E29),(D93*D29+E93*E29+F93*G29)))</f>
        <v>0</v>
      </c>
      <c r="AG74" s="59" t="s">
        <v>13</v>
      </c>
    </row>
    <row r="75" spans="1:33" ht="15.75" hidden="1" x14ac:dyDescent="0.25">
      <c r="A75" s="40"/>
      <c r="B75" s="36"/>
      <c r="C75" s="262"/>
      <c r="D75" s="263" t="s">
        <v>86</v>
      </c>
      <c r="E75" s="264"/>
      <c r="F75" s="264"/>
      <c r="G75" s="101"/>
      <c r="H75" s="72"/>
      <c r="I75" s="26"/>
      <c r="J75" s="1"/>
      <c r="K75" s="25"/>
      <c r="L75" s="1"/>
      <c r="AA75" s="2">
        <f>AA76/D16</f>
        <v>0</v>
      </c>
      <c r="AG75" s="49"/>
    </row>
    <row r="76" spans="1:33" ht="15.75" hidden="1" x14ac:dyDescent="0.25">
      <c r="A76" s="40"/>
      <c r="B76" s="36"/>
      <c r="C76" s="265" t="s">
        <v>12</v>
      </c>
      <c r="D76" s="265" t="s">
        <v>2</v>
      </c>
      <c r="E76" s="265" t="s">
        <v>3</v>
      </c>
      <c r="F76" s="265" t="s">
        <v>71</v>
      </c>
      <c r="G76" s="204" t="s">
        <v>21</v>
      </c>
      <c r="H76" s="81" t="s">
        <v>14</v>
      </c>
      <c r="I76" s="26"/>
      <c r="J76" s="1"/>
      <c r="K76" s="25"/>
      <c r="L76" s="1"/>
      <c r="AA76" s="2">
        <f>IF(D14=0,(F94*G29),IF(D15=0,(D94*D29+E94*E29),(D94*D29+E94*E29+F94*G29)))</f>
        <v>0</v>
      </c>
      <c r="AC76" s="2">
        <f>C78/1000*D78</f>
        <v>0</v>
      </c>
      <c r="AD76" s="2">
        <f>C78*E78/1000</f>
        <v>0</v>
      </c>
      <c r="AE76" s="2">
        <f>C78/1000*F78</f>
        <v>0</v>
      </c>
      <c r="AG76" s="62">
        <f>AA56</f>
        <v>0</v>
      </c>
    </row>
    <row r="77" spans="1:33" ht="15.75" hidden="1" x14ac:dyDescent="0.25">
      <c r="A77" s="40"/>
      <c r="B77" s="90"/>
      <c r="C77" s="259"/>
      <c r="D77" s="259"/>
      <c r="E77" s="259"/>
      <c r="F77" s="259"/>
      <c r="G77" s="59" t="s">
        <v>15</v>
      </c>
      <c r="H77" s="81" t="s">
        <v>15</v>
      </c>
      <c r="I77" s="26"/>
      <c r="J77" s="1"/>
      <c r="K77" s="25"/>
      <c r="L77" s="1"/>
      <c r="AA77" s="2">
        <f>(AA78)/D16</f>
        <v>0</v>
      </c>
      <c r="AC77" s="2">
        <f>C79/1000*D79</f>
        <v>1.5</v>
      </c>
      <c r="AD77" s="2">
        <f>C79*E79/1000</f>
        <v>1.5</v>
      </c>
      <c r="AE77" s="2">
        <f>C79/1000*F79</f>
        <v>1.5</v>
      </c>
      <c r="AG77" s="62">
        <f>AA59</f>
        <v>19.25</v>
      </c>
    </row>
    <row r="78" spans="1:33" ht="15.75" x14ac:dyDescent="0.25">
      <c r="A78" s="289" t="s">
        <v>183</v>
      </c>
      <c r="B78" s="82"/>
      <c r="C78" s="257">
        <v>0</v>
      </c>
      <c r="D78" s="257">
        <v>0</v>
      </c>
      <c r="E78" s="257">
        <v>0</v>
      </c>
      <c r="F78" s="257">
        <v>0</v>
      </c>
      <c r="G78" s="208">
        <f>AB55</f>
        <v>0</v>
      </c>
      <c r="H78" s="72">
        <f>AA58</f>
        <v>0</v>
      </c>
      <c r="I78" s="25"/>
      <c r="J78" s="1"/>
      <c r="K78" s="25"/>
      <c r="L78" s="1"/>
      <c r="AA78" s="2">
        <f>IF(D14=0,(F95*G29),IF(D15=0,(D95*D29+E95*E29),(D95*D29+E95*E29+F95*G29)))</f>
        <v>0</v>
      </c>
      <c r="AC78" s="2">
        <f>C80/1000*D80</f>
        <v>0</v>
      </c>
      <c r="AD78" s="2">
        <f>C80*E80/1000</f>
        <v>0</v>
      </c>
      <c r="AE78" s="2">
        <f>C80/1000*F80</f>
        <v>0</v>
      </c>
      <c r="AG78" s="62">
        <f>AA61</f>
        <v>0</v>
      </c>
    </row>
    <row r="79" spans="1:33" ht="15.75" x14ac:dyDescent="0.25">
      <c r="A79" s="289" t="s">
        <v>187</v>
      </c>
      <c r="B79" s="82"/>
      <c r="C79" s="257">
        <v>150</v>
      </c>
      <c r="D79" s="257">
        <v>10</v>
      </c>
      <c r="E79" s="257">
        <v>10</v>
      </c>
      <c r="F79" s="257">
        <v>10</v>
      </c>
      <c r="G79" s="208">
        <f>AB58</f>
        <v>3.2016632016632016</v>
      </c>
      <c r="H79" s="72">
        <f>AA60</f>
        <v>1876.875</v>
      </c>
      <c r="I79" s="26"/>
      <c r="J79" s="1"/>
      <c r="K79" s="25"/>
      <c r="L79" s="1"/>
      <c r="AA79" s="2">
        <f>(AA80)/D16</f>
        <v>0</v>
      </c>
      <c r="AC79" s="2">
        <f>C81/1000*D81</f>
        <v>0</v>
      </c>
      <c r="AD79" s="2">
        <f>C81*E81/1000</f>
        <v>0</v>
      </c>
      <c r="AE79" s="2">
        <f>C81/1000*F81</f>
        <v>0</v>
      </c>
      <c r="AG79" s="62">
        <f>AA63</f>
        <v>0</v>
      </c>
    </row>
    <row r="80" spans="1:33" ht="15.75" x14ac:dyDescent="0.25">
      <c r="A80" s="94" t="s">
        <v>118</v>
      </c>
      <c r="B80" s="82" t="s">
        <v>17</v>
      </c>
      <c r="C80" s="257">
        <v>0</v>
      </c>
      <c r="D80" s="257">
        <v>0</v>
      </c>
      <c r="E80" s="257">
        <v>0</v>
      </c>
      <c r="F80" s="257">
        <v>0</v>
      </c>
      <c r="G80" s="208">
        <f>AB60</f>
        <v>0</v>
      </c>
      <c r="H80" s="72">
        <f>AA62</f>
        <v>0</v>
      </c>
      <c r="I80" s="25"/>
      <c r="J80" s="1"/>
      <c r="K80" s="25"/>
      <c r="L80" s="1"/>
      <c r="AA80" s="2">
        <f>IF(D14=0,(F96*G29),IF(D15=0,(D96*D29+E96*E29),(D96*D29+E96*E29+F96*G29)))</f>
        <v>0</v>
      </c>
      <c r="AB80" s="6"/>
      <c r="AC80" s="2">
        <f>IF(D14=0,"",SUM(AC63:AC68,AC75:AC79))</f>
        <v>178.75</v>
      </c>
      <c r="AD80" s="2">
        <f>IF(D14=0,"",SUM(AD63:AD68,AD75:AD79))</f>
        <v>259.375</v>
      </c>
      <c r="AE80" s="2" t="str">
        <f>IF(D15=0,"",SUM(AE63:AE68,AE75:AE79))</f>
        <v/>
      </c>
      <c r="AG80" s="59" t="s">
        <v>15</v>
      </c>
    </row>
    <row r="81" spans="1:33" ht="15.75" x14ac:dyDescent="0.25">
      <c r="A81" s="94" t="s">
        <v>118</v>
      </c>
      <c r="B81" s="82" t="s">
        <v>17</v>
      </c>
      <c r="C81" s="257">
        <v>0</v>
      </c>
      <c r="D81" s="257">
        <v>0</v>
      </c>
      <c r="E81" s="257">
        <v>0</v>
      </c>
      <c r="F81" s="257">
        <v>0</v>
      </c>
      <c r="G81" s="208">
        <f>AB62</f>
        <v>0</v>
      </c>
      <c r="H81" s="72">
        <f>AA64</f>
        <v>0</v>
      </c>
      <c r="I81" s="25"/>
      <c r="J81" s="1"/>
      <c r="K81" s="25"/>
      <c r="L81" s="1"/>
      <c r="AA81" s="2">
        <f>(AA82)/D16</f>
        <v>0</v>
      </c>
      <c r="AB81" s="6"/>
      <c r="AC81" s="2">
        <f>AC80*D29</f>
        <v>116187.5</v>
      </c>
      <c r="AD81" s="2">
        <f>AD80*E29</f>
        <v>155949.21875</v>
      </c>
      <c r="AE81" s="2">
        <f>AE80*G29</f>
        <v>0</v>
      </c>
      <c r="AG81" s="59"/>
    </row>
    <row r="82" spans="1:33" ht="15.75" x14ac:dyDescent="0.25">
      <c r="A82" s="91"/>
      <c r="B82" s="68" t="s">
        <v>4</v>
      </c>
      <c r="C82" s="50"/>
      <c r="D82" s="59" t="s">
        <v>15</v>
      </c>
      <c r="E82" s="59" t="s">
        <v>15</v>
      </c>
      <c r="F82" s="59" t="s">
        <v>15</v>
      </c>
      <c r="G82" s="59" t="s">
        <v>15</v>
      </c>
      <c r="H82" s="81" t="s">
        <v>15</v>
      </c>
      <c r="I82" s="25"/>
      <c r="J82" s="1"/>
      <c r="K82" s="25"/>
      <c r="L82" s="1"/>
      <c r="AA82" s="2">
        <f>IF(D14=0,(F97*G29),IF(D15=0,(D97*D29+E97*E29),(D97*D29+E97*E29+F97*G29)))</f>
        <v>0</v>
      </c>
      <c r="AB82" s="6"/>
      <c r="AE82" s="2">
        <f>SUM(AC81:AE81)</f>
        <v>272136.71875</v>
      </c>
      <c r="AG82" s="62">
        <f ca="1">AA68</f>
        <v>994.75</v>
      </c>
    </row>
    <row r="83" spans="1:33" ht="15.75" x14ac:dyDescent="0.25">
      <c r="A83" s="290" t="s">
        <v>188</v>
      </c>
      <c r="B83" s="68"/>
      <c r="C83" s="50"/>
      <c r="D83" s="62">
        <f>AA65</f>
        <v>190</v>
      </c>
      <c r="E83" s="62">
        <f>AA66</f>
        <v>870</v>
      </c>
      <c r="F83" s="62">
        <f>AA67</f>
        <v>840</v>
      </c>
      <c r="G83" s="101"/>
      <c r="H83" s="81"/>
      <c r="I83" s="25"/>
      <c r="J83" s="1"/>
      <c r="K83" s="25"/>
      <c r="L83" s="1"/>
      <c r="AA83" s="6">
        <f>IF(D14=0,"",SUM(D92:D97))</f>
        <v>25</v>
      </c>
      <c r="AB83" s="6"/>
      <c r="AC83" s="2">
        <f>AC81/C55</f>
        <v>198.19819819819818</v>
      </c>
      <c r="AD83" s="2">
        <f>AD81/C55</f>
        <v>266.02564102564105</v>
      </c>
      <c r="AE83" s="2" t="e">
        <f>AE81/C56</f>
        <v>#DIV/0!</v>
      </c>
      <c r="AG83" s="36"/>
    </row>
    <row r="84" spans="1:33" ht="15.75" x14ac:dyDescent="0.25">
      <c r="A84" s="40" t="s">
        <v>113</v>
      </c>
      <c r="B84" s="43"/>
      <c r="C84" s="92"/>
      <c r="D84" s="62">
        <f>AC80</f>
        <v>178.75</v>
      </c>
      <c r="E84" s="62">
        <f>AD80</f>
        <v>259.375</v>
      </c>
      <c r="F84" s="62" t="str">
        <f>AE80</f>
        <v/>
      </c>
      <c r="G84" s="208">
        <f>AA70</f>
        <v>464.22383922383921</v>
      </c>
      <c r="H84" s="72">
        <f>AA69</f>
        <v>272136.71875</v>
      </c>
      <c r="I84" s="25"/>
      <c r="J84" s="1"/>
      <c r="K84" s="25"/>
      <c r="L84" s="1"/>
      <c r="AA84" s="6"/>
      <c r="AB84" s="3"/>
      <c r="AC84" s="2" t="e">
        <f>SUM(AC83:AE83)</f>
        <v>#DIV/0!</v>
      </c>
      <c r="AG84" s="59" t="s">
        <v>18</v>
      </c>
    </row>
    <row r="85" spans="1:33" ht="15.75" x14ac:dyDescent="0.25">
      <c r="A85" s="40"/>
      <c r="B85" s="43"/>
      <c r="C85" s="92"/>
      <c r="D85" s="62"/>
      <c r="E85" s="62"/>
      <c r="F85" s="62"/>
      <c r="G85" s="208"/>
      <c r="H85" s="72"/>
      <c r="I85" s="25"/>
      <c r="J85" s="1"/>
      <c r="K85" s="25"/>
      <c r="L85" s="1"/>
      <c r="AA85" s="6">
        <f>IF(D14=0,"",SUM(E92:E97))</f>
        <v>10</v>
      </c>
      <c r="AB85" s="3"/>
      <c r="AG85" s="59" t="s">
        <v>19</v>
      </c>
    </row>
    <row r="86" spans="1:33" ht="15.75" x14ac:dyDescent="0.25">
      <c r="A86" s="40"/>
      <c r="B86" s="43"/>
      <c r="C86" s="92"/>
      <c r="D86" s="291" t="s">
        <v>168</v>
      </c>
      <c r="E86" s="62"/>
      <c r="F86" s="291" t="s">
        <v>164</v>
      </c>
      <c r="G86" s="208"/>
      <c r="H86" s="72"/>
      <c r="I86" s="26"/>
      <c r="J86" s="1"/>
      <c r="K86" s="25"/>
      <c r="L86" s="1"/>
      <c r="AA86" s="6" t="str">
        <f>IF(D15=0,"",SUM(F92:F97))</f>
        <v/>
      </c>
      <c r="AG86" s="59" t="s">
        <v>15</v>
      </c>
    </row>
    <row r="87" spans="1:33" ht="15.75" x14ac:dyDescent="0.25">
      <c r="A87" s="267" t="s">
        <v>189</v>
      </c>
      <c r="B87" s="36"/>
      <c r="C87" s="36"/>
      <c r="D87" s="171">
        <f>AA114</f>
        <v>124.8</v>
      </c>
      <c r="E87" s="78"/>
      <c r="F87" s="62" t="str">
        <f>AA115</f>
        <v/>
      </c>
      <c r="G87" s="62">
        <f>AA116</f>
        <v>138.37837837837839</v>
      </c>
      <c r="H87" s="72">
        <f>AA117</f>
        <v>89945.945945945947</v>
      </c>
      <c r="I87" s="26"/>
      <c r="J87" s="1"/>
      <c r="K87" s="25"/>
      <c r="L87" s="1"/>
      <c r="AA87" s="3">
        <f>SUM(AG87:AG92)</f>
        <v>34.25</v>
      </c>
      <c r="AB87" s="2" t="s">
        <v>89</v>
      </c>
      <c r="AG87" s="62">
        <f>AA71</f>
        <v>34.25</v>
      </c>
    </row>
    <row r="88" spans="1:33" ht="15.75" x14ac:dyDescent="0.25">
      <c r="A88" s="40"/>
      <c r="B88" s="36"/>
      <c r="C88" s="36"/>
      <c r="D88" s="43"/>
      <c r="E88" s="50"/>
      <c r="F88" s="62"/>
      <c r="G88" s="78"/>
      <c r="H88" s="72"/>
      <c r="I88" s="26"/>
      <c r="J88" s="1"/>
      <c r="K88" s="25"/>
      <c r="L88" s="1"/>
      <c r="AA88" s="3">
        <f>SUM(H92:H97)</f>
        <v>22262.5</v>
      </c>
      <c r="AB88" s="2">
        <f>D99*D29</f>
        <v>16250</v>
      </c>
      <c r="AC88" s="2">
        <f>E99*E29</f>
        <v>6012.5</v>
      </c>
      <c r="AD88" s="2">
        <f>F99*G29</f>
        <v>0</v>
      </c>
      <c r="AG88" s="62">
        <f>AA73</f>
        <v>0</v>
      </c>
    </row>
    <row r="89" spans="1:33" ht="15.75" x14ac:dyDescent="0.25">
      <c r="A89" s="56"/>
      <c r="B89" s="36"/>
      <c r="C89" s="36"/>
      <c r="D89" s="93" t="s">
        <v>159</v>
      </c>
      <c r="E89" s="89"/>
      <c r="F89" s="89"/>
      <c r="G89" s="101"/>
      <c r="H89" s="72"/>
      <c r="I89" s="26"/>
      <c r="J89" s="1"/>
      <c r="K89" s="25"/>
      <c r="L89" s="1"/>
      <c r="AA89" s="2" t="str">
        <f>""&amp;FIXED(H101,0,TRUE)&amp;" Calf"</f>
        <v>586 Calf</v>
      </c>
      <c r="AG89" s="62">
        <f>AA75</f>
        <v>0</v>
      </c>
    </row>
    <row r="90" spans="1:33" ht="15.75" x14ac:dyDescent="0.25">
      <c r="A90" s="56"/>
      <c r="B90" s="36"/>
      <c r="C90" s="36"/>
      <c r="D90" s="59" t="s">
        <v>103</v>
      </c>
      <c r="E90" s="59" t="s">
        <v>104</v>
      </c>
      <c r="F90" s="269" t="s">
        <v>164</v>
      </c>
      <c r="G90" s="204" t="s">
        <v>129</v>
      </c>
      <c r="H90" s="81" t="s">
        <v>130</v>
      </c>
      <c r="I90" s="25"/>
      <c r="J90" s="1"/>
      <c r="K90" s="25"/>
      <c r="L90" s="1"/>
      <c r="AA90" s="2" t="str">
        <f>IF(D16&gt;1," "&amp;FIXED(D16,0,TRUE)&amp;" Calves"," "&amp;FIXED(D16,0,TRUE)&amp;" Calf")</f>
        <v xml:space="preserve"> 650 Calves</v>
      </c>
      <c r="AG90" s="62">
        <f>AA77</f>
        <v>0</v>
      </c>
    </row>
    <row r="91" spans="1:33" ht="15.75" x14ac:dyDescent="0.25">
      <c r="A91" s="267" t="s">
        <v>191</v>
      </c>
      <c r="B91" s="36"/>
      <c r="C91" s="36"/>
      <c r="D91" s="59" t="s">
        <v>15</v>
      </c>
      <c r="E91" s="59" t="s">
        <v>15</v>
      </c>
      <c r="F91" s="59" t="s">
        <v>15</v>
      </c>
      <c r="G91" s="59" t="s">
        <v>15</v>
      </c>
      <c r="H91" s="81" t="s">
        <v>15</v>
      </c>
      <c r="I91" s="26"/>
      <c r="J91" s="1"/>
      <c r="K91" s="25"/>
      <c r="L91" s="1"/>
      <c r="AA91" s="2">
        <f>IF(D14=0,"",D106*B106)</f>
        <v>44.8</v>
      </c>
      <c r="AG91" s="62">
        <f>AA79</f>
        <v>0</v>
      </c>
    </row>
    <row r="92" spans="1:33" ht="15.75" x14ac:dyDescent="0.25">
      <c r="A92" s="289" t="s">
        <v>190</v>
      </c>
      <c r="B92" s="36"/>
      <c r="C92" s="36"/>
      <c r="D92" s="95">
        <v>25</v>
      </c>
      <c r="E92" s="95">
        <v>10</v>
      </c>
      <c r="F92" s="95">
        <v>15</v>
      </c>
      <c r="G92" s="208">
        <f>AA71</f>
        <v>34.25</v>
      </c>
      <c r="H92" s="72">
        <f>AA72</f>
        <v>22262.5</v>
      </c>
      <c r="I92" s="25"/>
      <c r="J92" s="1"/>
      <c r="K92" s="25"/>
      <c r="L92" s="1"/>
      <c r="AA92" s="2">
        <f>IF(D14=0,"",E106*B106)</f>
        <v>33.599999999999994</v>
      </c>
      <c r="AG92" s="62">
        <f>AA81</f>
        <v>0</v>
      </c>
    </row>
    <row r="93" spans="1:33" ht="15.75" x14ac:dyDescent="0.25">
      <c r="A93" s="96" t="s">
        <v>65</v>
      </c>
      <c r="B93" s="36"/>
      <c r="C93" s="36"/>
      <c r="D93" s="95">
        <v>0</v>
      </c>
      <c r="E93" s="95">
        <v>0</v>
      </c>
      <c r="F93" s="95">
        <v>0</v>
      </c>
      <c r="G93" s="208">
        <f>AA73</f>
        <v>0</v>
      </c>
      <c r="H93" s="72">
        <f>AA74</f>
        <v>0</v>
      </c>
      <c r="I93" s="25"/>
      <c r="J93" s="1"/>
      <c r="K93" s="27" t="s">
        <v>22</v>
      </c>
      <c r="L93" s="1"/>
      <c r="AA93" s="2" t="str">
        <f>IF(D15=0,"",F106*B106)</f>
        <v/>
      </c>
      <c r="AG93" s="78" t="s">
        <v>15</v>
      </c>
    </row>
    <row r="94" spans="1:33" ht="15.75" x14ac:dyDescent="0.25">
      <c r="A94" s="96" t="s">
        <v>65</v>
      </c>
      <c r="B94" s="36"/>
      <c r="C94" s="43"/>
      <c r="D94" s="95">
        <v>0</v>
      </c>
      <c r="E94" s="95">
        <v>0</v>
      </c>
      <c r="F94" s="95">
        <v>0</v>
      </c>
      <c r="G94" s="208">
        <f>AA75</f>
        <v>0</v>
      </c>
      <c r="H94" s="72">
        <f>AA76</f>
        <v>0</v>
      </c>
      <c r="I94" s="26"/>
      <c r="J94" s="1"/>
      <c r="K94" s="27" t="s">
        <v>23</v>
      </c>
      <c r="L94" s="1"/>
      <c r="AA94" s="2">
        <f>H106/D16</f>
        <v>75.88</v>
      </c>
      <c r="AB94" s="2" t="s">
        <v>88</v>
      </c>
      <c r="AG94" s="78">
        <f>AA87</f>
        <v>34.25</v>
      </c>
    </row>
    <row r="95" spans="1:33" ht="15.75" x14ac:dyDescent="0.25">
      <c r="A95" s="96" t="s">
        <v>65</v>
      </c>
      <c r="B95" s="36"/>
      <c r="C95" s="36"/>
      <c r="D95" s="95">
        <v>0</v>
      </c>
      <c r="E95" s="95">
        <v>0</v>
      </c>
      <c r="F95" s="95">
        <v>0</v>
      </c>
      <c r="G95" s="208">
        <f>AA77</f>
        <v>0</v>
      </c>
      <c r="H95" s="72">
        <f>AA78</f>
        <v>0</v>
      </c>
      <c r="I95" s="25"/>
      <c r="J95" s="1"/>
      <c r="K95" s="27" t="s">
        <v>24</v>
      </c>
      <c r="L95" s="1"/>
      <c r="AA95" s="3">
        <f>IF(D14=0,(G29*F108),IF(D15=0,(D108*D29+E108*E29),(D108*D29+E108*E29+G29*F108)))</f>
        <v>49321.999999999993</v>
      </c>
      <c r="AB95" s="2">
        <f>(D108*D29+E108*E29)</f>
        <v>49321.999999999993</v>
      </c>
      <c r="AC95" s="3">
        <f>AA95-AB95</f>
        <v>0</v>
      </c>
    </row>
    <row r="96" spans="1:33" ht="15.75" x14ac:dyDescent="0.25">
      <c r="A96" s="96" t="s">
        <v>65</v>
      </c>
      <c r="B96" s="36"/>
      <c r="C96" s="43"/>
      <c r="D96" s="95">
        <v>0</v>
      </c>
      <c r="E96" s="95">
        <v>0</v>
      </c>
      <c r="F96" s="95">
        <v>0</v>
      </c>
      <c r="G96" s="208">
        <f>AA79</f>
        <v>0</v>
      </c>
      <c r="H96" s="72">
        <f>AA80</f>
        <v>0</v>
      </c>
      <c r="I96" s="26"/>
      <c r="J96" s="1"/>
      <c r="K96" s="27" t="s">
        <v>25</v>
      </c>
      <c r="L96" s="1"/>
      <c r="AA96" s="2">
        <f>IF(F116&gt;0,F116/H101,E116)</f>
        <v>0.30705261474492246</v>
      </c>
      <c r="AB96" s="2">
        <f>AB95/D14</f>
        <v>75.88</v>
      </c>
      <c r="AC96" s="2" t="e">
        <f>AC95/D15</f>
        <v>#DIV/0!</v>
      </c>
    </row>
    <row r="97" spans="1:30" ht="15.75" x14ac:dyDescent="0.25">
      <c r="A97" s="96" t="s">
        <v>65</v>
      </c>
      <c r="B97" s="36"/>
      <c r="C97" s="36"/>
      <c r="D97" s="95">
        <v>0</v>
      </c>
      <c r="E97" s="95">
        <v>0</v>
      </c>
      <c r="F97" s="95">
        <v>0</v>
      </c>
      <c r="G97" s="208">
        <f>AA81</f>
        <v>0</v>
      </c>
      <c r="H97" s="72">
        <f>AA82</f>
        <v>0</v>
      </c>
      <c r="I97" s="26"/>
      <c r="J97" s="1"/>
      <c r="K97" s="27" t="s">
        <v>26</v>
      </c>
      <c r="L97" s="1"/>
      <c r="AA97" s="2">
        <f>G116*D16</f>
        <v>199.58419958419961</v>
      </c>
      <c r="AD97" s="4"/>
    </row>
    <row r="98" spans="1:30" ht="15.75" x14ac:dyDescent="0.25">
      <c r="A98" s="56"/>
      <c r="B98" s="36"/>
      <c r="C98" s="36"/>
      <c r="D98" s="78" t="s">
        <v>15</v>
      </c>
      <c r="E98" s="78" t="s">
        <v>15</v>
      </c>
      <c r="F98" s="78" t="s">
        <v>15</v>
      </c>
      <c r="G98" s="78" t="s">
        <v>15</v>
      </c>
      <c r="H98" s="97" t="s">
        <v>15</v>
      </c>
      <c r="I98" s="25"/>
      <c r="J98" s="1"/>
      <c r="K98" s="25"/>
      <c r="L98" s="1"/>
      <c r="AA98" s="2">
        <f>IF(F117&gt;0,F117/H101,E117)</f>
        <v>5.5</v>
      </c>
    </row>
    <row r="99" spans="1:30" ht="15.75" x14ac:dyDescent="0.25">
      <c r="A99" s="40" t="s">
        <v>114</v>
      </c>
      <c r="B99" s="36"/>
      <c r="C99" s="36"/>
      <c r="D99" s="62">
        <f>AA83</f>
        <v>25</v>
      </c>
      <c r="E99" s="62">
        <f>AA85</f>
        <v>10</v>
      </c>
      <c r="F99" s="62" t="str">
        <f>AA86</f>
        <v/>
      </c>
      <c r="G99" s="208">
        <f>AG94</f>
        <v>34.25</v>
      </c>
      <c r="H99" s="72">
        <f>AA88</f>
        <v>22262.5</v>
      </c>
      <c r="I99" s="26"/>
      <c r="J99" s="1"/>
      <c r="K99" s="25"/>
      <c r="L99" s="1"/>
      <c r="AA99" s="2">
        <f>G117*AA50</f>
        <v>3224.203125</v>
      </c>
    </row>
    <row r="100" spans="1:30" ht="15.75" x14ac:dyDescent="0.25">
      <c r="A100" s="98"/>
      <c r="B100" s="99"/>
      <c r="C100" s="99"/>
      <c r="D100" s="100"/>
      <c r="E100" s="99"/>
      <c r="F100" s="99"/>
      <c r="G100" s="101"/>
      <c r="H100" s="102"/>
      <c r="I100" s="26"/>
      <c r="J100" s="1"/>
      <c r="K100" s="25"/>
      <c r="L100" s="1"/>
      <c r="AA100" s="2">
        <f>IF(F118&gt;0,F118/H101,E118)</f>
        <v>20</v>
      </c>
    </row>
    <row r="101" spans="1:30" ht="15.75" hidden="1" x14ac:dyDescent="0.25">
      <c r="A101" s="83" t="s">
        <v>20</v>
      </c>
      <c r="B101" s="84"/>
      <c r="C101" s="84"/>
      <c r="D101" s="84"/>
      <c r="E101" s="84"/>
      <c r="F101" s="84"/>
      <c r="G101" s="84"/>
      <c r="H101" s="103">
        <f>AA50</f>
        <v>586.21875</v>
      </c>
      <c r="I101" s="26"/>
      <c r="J101" s="1"/>
      <c r="K101" s="27" t="s">
        <v>27</v>
      </c>
      <c r="L101" s="1"/>
      <c r="AA101" s="2">
        <f>G118*AA50</f>
        <v>11724.375</v>
      </c>
    </row>
    <row r="102" spans="1:30" ht="15.75" hidden="1" x14ac:dyDescent="0.25">
      <c r="A102" s="83"/>
      <c r="B102" s="84"/>
      <c r="C102" s="84"/>
      <c r="D102" s="84"/>
      <c r="E102" s="84"/>
      <c r="F102" s="84"/>
      <c r="G102" s="84"/>
      <c r="H102" s="104"/>
      <c r="I102" s="25"/>
      <c r="J102" s="1"/>
      <c r="K102" s="25"/>
      <c r="L102" s="1"/>
      <c r="AA102" s="2">
        <f>IF(F119&gt;0,F119/H101,E119)</f>
        <v>15</v>
      </c>
    </row>
    <row r="103" spans="1:30" ht="15.75" x14ac:dyDescent="0.25">
      <c r="A103" s="56"/>
      <c r="B103" s="36"/>
      <c r="C103" s="36"/>
      <c r="D103" s="292" t="s">
        <v>206</v>
      </c>
      <c r="E103" s="293"/>
      <c r="F103" s="293"/>
      <c r="G103" s="49"/>
      <c r="H103" s="48"/>
      <c r="I103" s="26"/>
      <c r="J103" s="1"/>
      <c r="K103" s="25"/>
      <c r="L103" s="1"/>
      <c r="AA103" s="2">
        <f>G119*AA50</f>
        <v>8793.28125</v>
      </c>
    </row>
    <row r="104" spans="1:30" ht="15.75" x14ac:dyDescent="0.25">
      <c r="A104" s="56"/>
      <c r="B104" s="36"/>
      <c r="C104" s="36"/>
      <c r="D104" s="59" t="s">
        <v>103</v>
      </c>
      <c r="E104" s="59" t="s">
        <v>104</v>
      </c>
      <c r="F104" s="269" t="s">
        <v>164</v>
      </c>
      <c r="G104" s="204" t="s">
        <v>129</v>
      </c>
      <c r="H104" s="81" t="s">
        <v>130</v>
      </c>
      <c r="I104" s="24">
        <f>AA122</f>
        <v>25800.122140411913</v>
      </c>
      <c r="J104" s="1"/>
      <c r="K104" s="25"/>
      <c r="L104" s="1"/>
      <c r="AA104" s="2">
        <f>IF(F120&gt;0,F120/H101,E120)</f>
        <v>45.204968281891361</v>
      </c>
    </row>
    <row r="105" spans="1:30" ht="15.75" x14ac:dyDescent="0.25">
      <c r="A105" s="56"/>
      <c r="B105" s="286" t="s">
        <v>192</v>
      </c>
      <c r="C105" s="36"/>
      <c r="D105" s="59" t="s">
        <v>15</v>
      </c>
      <c r="E105" s="59" t="s">
        <v>15</v>
      </c>
      <c r="F105" s="59" t="s">
        <v>15</v>
      </c>
      <c r="G105" s="59" t="s">
        <v>15</v>
      </c>
      <c r="H105" s="81"/>
      <c r="I105" s="26"/>
      <c r="J105" s="1"/>
      <c r="K105" s="25"/>
      <c r="L105" s="1"/>
      <c r="AA105" s="2">
        <f>G120*AA50</f>
        <v>26500</v>
      </c>
    </row>
    <row r="106" spans="1:30" ht="15.75" x14ac:dyDescent="0.25">
      <c r="A106" s="40" t="s">
        <v>193</v>
      </c>
      <c r="B106" s="95">
        <v>22.4</v>
      </c>
      <c r="C106" s="36"/>
      <c r="D106" s="95">
        <v>2</v>
      </c>
      <c r="E106" s="69">
        <v>1.5</v>
      </c>
      <c r="F106" s="209">
        <v>1.5</v>
      </c>
      <c r="G106" s="62">
        <f>AA94</f>
        <v>75.88</v>
      </c>
      <c r="H106" s="72">
        <f>AA95</f>
        <v>49321.999999999993</v>
      </c>
      <c r="I106" s="26"/>
      <c r="J106" s="9"/>
      <c r="K106" s="25"/>
      <c r="L106" s="1"/>
      <c r="AA106" s="2">
        <f>IF(F121&gt;0,F121/H101,E121)</f>
        <v>15</v>
      </c>
    </row>
    <row r="107" spans="1:30" ht="15.75" x14ac:dyDescent="0.25">
      <c r="A107" s="56"/>
      <c r="B107" s="36"/>
      <c r="C107" s="36"/>
      <c r="D107" s="78" t="s">
        <v>15</v>
      </c>
      <c r="E107" s="78" t="s">
        <v>15</v>
      </c>
      <c r="F107" s="78" t="s">
        <v>15</v>
      </c>
      <c r="G107" s="101"/>
      <c r="H107" s="97" t="s">
        <v>15</v>
      </c>
      <c r="I107" s="24">
        <f>AA132</f>
        <v>141514.28571428574</v>
      </c>
      <c r="J107" s="9"/>
      <c r="K107" s="27" t="s">
        <v>30</v>
      </c>
      <c r="L107" s="1"/>
      <c r="AA107" s="2">
        <f>G121*AA50</f>
        <v>8793.28125</v>
      </c>
    </row>
    <row r="108" spans="1:30" ht="15.75" x14ac:dyDescent="0.25">
      <c r="A108" s="267" t="s">
        <v>194</v>
      </c>
      <c r="B108" s="36"/>
      <c r="C108" s="36"/>
      <c r="D108" s="62">
        <f>AA91</f>
        <v>44.8</v>
      </c>
      <c r="E108" s="210">
        <f>AA92</f>
        <v>33.599999999999994</v>
      </c>
      <c r="F108" s="62" t="str">
        <f>AA93</f>
        <v/>
      </c>
      <c r="G108" s="78"/>
      <c r="H108" s="72"/>
      <c r="I108" s="24">
        <f>AA136</f>
        <v>2395.1195929549908</v>
      </c>
      <c r="J108" s="9"/>
      <c r="K108" s="27" t="s">
        <v>31</v>
      </c>
      <c r="L108" s="1"/>
      <c r="AA108" s="2">
        <f>IF(F122&gt;0,F122/H100,E122)</f>
        <v>0</v>
      </c>
    </row>
    <row r="109" spans="1:30" ht="15.75" x14ac:dyDescent="0.25">
      <c r="A109" s="40"/>
      <c r="B109" s="36"/>
      <c r="C109" s="36"/>
      <c r="D109" s="49"/>
      <c r="E109" s="36"/>
      <c r="F109" s="49"/>
      <c r="G109" s="78"/>
      <c r="H109" s="72"/>
      <c r="I109" s="24">
        <f>AA137</f>
        <v>10688.20218550221</v>
      </c>
      <c r="J109" s="9"/>
      <c r="K109" s="27" t="s">
        <v>32</v>
      </c>
      <c r="L109" s="1"/>
      <c r="AA109" s="2">
        <f>G122*AA50</f>
        <v>0</v>
      </c>
    </row>
    <row r="110" spans="1:30" ht="15.75" x14ac:dyDescent="0.25">
      <c r="A110" s="234"/>
      <c r="B110" s="235"/>
      <c r="C110" s="235"/>
      <c r="D110" s="294" t="s">
        <v>168</v>
      </c>
      <c r="E110" s="294"/>
      <c r="F110" s="294" t="s">
        <v>164</v>
      </c>
      <c r="G110" s="236"/>
      <c r="H110" s="237"/>
      <c r="I110" s="26"/>
      <c r="J110" s="9"/>
      <c r="K110" s="27" t="s">
        <v>33</v>
      </c>
      <c r="L110" s="1"/>
      <c r="AA110" s="2">
        <f>IF(F123&gt;0,F123/H100,E123)</f>
        <v>0</v>
      </c>
    </row>
    <row r="111" spans="1:30" ht="15.75" x14ac:dyDescent="0.25">
      <c r="A111" s="295" t="s">
        <v>244</v>
      </c>
      <c r="B111" s="238"/>
      <c r="C111" s="238"/>
      <c r="D111" s="239">
        <f>AB120</f>
        <v>227.28551628551628</v>
      </c>
      <c r="E111" s="240"/>
      <c r="F111" s="239" t="str">
        <f>AD120</f>
        <v/>
      </c>
      <c r="G111" s="241"/>
      <c r="H111" s="242"/>
      <c r="I111" s="25"/>
      <c r="J111" s="1"/>
      <c r="K111" s="25"/>
      <c r="L111" s="1"/>
      <c r="AA111" s="2">
        <f>G123*AA50</f>
        <v>0</v>
      </c>
    </row>
    <row r="112" spans="1:30" ht="15.75" x14ac:dyDescent="0.25">
      <c r="A112" s="266" t="s">
        <v>243</v>
      </c>
      <c r="B112" s="36"/>
      <c r="C112" s="36"/>
      <c r="D112" s="49"/>
      <c r="E112" s="36"/>
      <c r="F112" s="49"/>
      <c r="G112" s="78"/>
      <c r="H112" s="72"/>
      <c r="I112" s="26"/>
      <c r="J112" s="1"/>
      <c r="K112" s="25"/>
      <c r="L112" s="1"/>
      <c r="AA112" s="2">
        <f>(D23*(D24/100)*D14)+(E23*(E24/100)*D15)</f>
        <v>81120</v>
      </c>
    </row>
    <row r="113" spans="1:32" ht="15.75" x14ac:dyDescent="0.25">
      <c r="A113" s="40"/>
      <c r="B113" s="36"/>
      <c r="C113" s="36"/>
      <c r="D113" s="49"/>
      <c r="E113" s="296" t="s">
        <v>195</v>
      </c>
      <c r="F113" s="297"/>
      <c r="G113" s="78"/>
      <c r="H113" s="72"/>
      <c r="I113" s="26"/>
      <c r="J113" s="11"/>
      <c r="K113" s="25"/>
      <c r="L113" s="1"/>
      <c r="AA113" s="2">
        <f>AA112</f>
        <v>81120</v>
      </c>
    </row>
    <row r="114" spans="1:32" ht="15.75" x14ac:dyDescent="0.25">
      <c r="A114" s="40"/>
      <c r="B114" s="36"/>
      <c r="C114" s="36"/>
      <c r="D114" s="49"/>
      <c r="E114" s="59"/>
      <c r="F114" s="59"/>
      <c r="G114" s="78"/>
      <c r="H114" s="72"/>
      <c r="I114" s="26"/>
      <c r="J114" s="1"/>
      <c r="K114" s="25"/>
      <c r="L114" s="1"/>
      <c r="AA114" s="2">
        <f>IF(D14=0,"",D23*D24/100)</f>
        <v>124.8</v>
      </c>
    </row>
    <row r="115" spans="1:32" ht="15.75" x14ac:dyDescent="0.25">
      <c r="A115" s="267" t="s">
        <v>196</v>
      </c>
      <c r="B115" s="36"/>
      <c r="C115" s="36"/>
      <c r="D115" s="49"/>
      <c r="E115" s="59" t="s">
        <v>129</v>
      </c>
      <c r="F115" s="59" t="s">
        <v>130</v>
      </c>
      <c r="G115" s="78"/>
      <c r="H115" s="72"/>
      <c r="I115" s="25"/>
      <c r="J115" s="1"/>
      <c r="K115" s="25"/>
      <c r="L115" s="1"/>
      <c r="AA115" s="2" t="str">
        <f>IF(D15=0,"",E23*E24/100)</f>
        <v/>
      </c>
      <c r="AB115" s="2" t="s">
        <v>90</v>
      </c>
    </row>
    <row r="116" spans="1:32" ht="15.75" x14ac:dyDescent="0.25">
      <c r="A116" s="267" t="s">
        <v>115</v>
      </c>
      <c r="B116" s="36"/>
      <c r="C116" s="36"/>
      <c r="D116" s="49"/>
      <c r="E116" s="69"/>
      <c r="F116" s="105">
        <v>180</v>
      </c>
      <c r="G116" s="78">
        <f>AA96</f>
        <v>0.30705261474492246</v>
      </c>
      <c r="H116" s="72">
        <f>AA97</f>
        <v>199.58419958419961</v>
      </c>
      <c r="I116" s="25"/>
      <c r="J116" s="1"/>
      <c r="K116" s="25"/>
      <c r="L116" s="1"/>
      <c r="AA116" s="2">
        <f>AA113/H101</f>
        <v>138.37837837837839</v>
      </c>
      <c r="AB116" s="2">
        <f>AA114*D14</f>
        <v>81120</v>
      </c>
      <c r="AD116" s="2">
        <f>AA115*D15</f>
        <v>0</v>
      </c>
    </row>
    <row r="117" spans="1:32" ht="15.75" x14ac:dyDescent="0.25">
      <c r="A117" s="267" t="s">
        <v>231</v>
      </c>
      <c r="B117" s="43"/>
      <c r="C117" s="43"/>
      <c r="D117" s="43"/>
      <c r="E117" s="69">
        <v>5.5</v>
      </c>
      <c r="F117" s="105"/>
      <c r="G117" s="78">
        <f>AA98</f>
        <v>5.5</v>
      </c>
      <c r="H117" s="72">
        <f>AA99</f>
        <v>3224.203125</v>
      </c>
      <c r="I117" s="26"/>
      <c r="J117" s="1"/>
      <c r="K117" s="25"/>
      <c r="L117" s="1"/>
      <c r="AA117" s="2">
        <f>G87*D16</f>
        <v>89945.945945945947</v>
      </c>
      <c r="AB117" s="2">
        <f>AB116+AB95+AB88+AC88+AC81+AD81</f>
        <v>424841.21875</v>
      </c>
      <c r="AD117" s="3">
        <f>AD116+AC95+AD88+AE81</f>
        <v>0</v>
      </c>
      <c r="AE117" s="2" t="s">
        <v>98</v>
      </c>
      <c r="AF117" s="2">
        <f>SUM(AB117:AD117)</f>
        <v>424841.21875</v>
      </c>
    </row>
    <row r="118" spans="1:32" ht="15.75" x14ac:dyDescent="0.25">
      <c r="A118" s="267" t="s">
        <v>197</v>
      </c>
      <c r="B118" s="43"/>
      <c r="C118" s="43"/>
      <c r="D118" s="43"/>
      <c r="E118" s="69">
        <v>20</v>
      </c>
      <c r="F118" s="105"/>
      <c r="G118" s="78">
        <f>AA100</f>
        <v>20</v>
      </c>
      <c r="H118" s="72">
        <f>AA101</f>
        <v>11724.375</v>
      </c>
      <c r="I118" s="26"/>
      <c r="J118" s="1"/>
      <c r="K118" s="25"/>
      <c r="L118" s="1"/>
      <c r="AA118" s="2" t="str">
        <f>" "&amp;FIXED(D16,0,TRUE)&amp;" Calf"</f>
        <v xml:space="preserve"> 650 Calf</v>
      </c>
      <c r="AB118" s="2" t="s">
        <v>96</v>
      </c>
    </row>
    <row r="119" spans="1:32" ht="15.75" x14ac:dyDescent="0.25">
      <c r="A119" s="267" t="s">
        <v>198</v>
      </c>
      <c r="B119" s="43"/>
      <c r="C119" s="43"/>
      <c r="D119" s="43"/>
      <c r="E119" s="69">
        <v>15</v>
      </c>
      <c r="F119" s="105"/>
      <c r="G119" s="78">
        <f>AA102</f>
        <v>15</v>
      </c>
      <c r="H119" s="72">
        <f>AA103</f>
        <v>8793.28125</v>
      </c>
      <c r="I119" s="26"/>
      <c r="J119" s="1"/>
      <c r="K119" s="25"/>
      <c r="L119" s="1"/>
      <c r="O119" s="27"/>
      <c r="AA119" s="2">
        <f ca="1">IF(K93=0,0,HLOOKUP(A2,INDIRECT(K30),2, FALSE)*INDIRECT(K93)*0.01)</f>
        <v>0</v>
      </c>
      <c r="AB119" s="2">
        <f>AB52-AC81-AD81-AB88-AC88-AB95-AB116</f>
        <v>133239.03125</v>
      </c>
      <c r="AD119" s="3">
        <f>AB53-AE81-AD88-AC95-AD116</f>
        <v>0</v>
      </c>
    </row>
    <row r="120" spans="1:32" ht="15.75" x14ac:dyDescent="0.25">
      <c r="A120" s="267" t="s">
        <v>117</v>
      </c>
      <c r="B120" s="36"/>
      <c r="C120" s="36"/>
      <c r="D120" s="36"/>
      <c r="E120" s="69"/>
      <c r="F120" s="105">
        <v>26500</v>
      </c>
      <c r="G120" s="78">
        <f>AA104</f>
        <v>45.204968281891361</v>
      </c>
      <c r="H120" s="72">
        <f>AA105</f>
        <v>26500</v>
      </c>
      <c r="I120" s="26"/>
      <c r="J120" s="1"/>
      <c r="K120" s="25"/>
      <c r="L120" s="1"/>
      <c r="O120" s="27" t="s">
        <v>28</v>
      </c>
      <c r="AA120" s="2">
        <f>IF(F127&gt;0,F127/AA50,E127)</f>
        <v>6</v>
      </c>
      <c r="AB120" s="2">
        <f>IF(D14=0,"",AB119/C55)</f>
        <v>227.28551628551628</v>
      </c>
      <c r="AD120" s="2" t="str">
        <f>IF(D15=0,"",AD119/C56)</f>
        <v/>
      </c>
    </row>
    <row r="121" spans="1:32" ht="15.75" x14ac:dyDescent="0.25">
      <c r="A121" s="267" t="s">
        <v>116</v>
      </c>
      <c r="B121" s="36"/>
      <c r="C121" s="36"/>
      <c r="D121" s="36"/>
      <c r="E121" s="69">
        <v>15</v>
      </c>
      <c r="F121" s="105"/>
      <c r="G121" s="78">
        <f>AA106</f>
        <v>15</v>
      </c>
      <c r="H121" s="72">
        <f>AA107</f>
        <v>8793.28125</v>
      </c>
      <c r="I121" s="26"/>
      <c r="J121" s="1"/>
      <c r="K121" s="25"/>
      <c r="L121" s="1"/>
      <c r="O121" s="27"/>
      <c r="AA121" s="2">
        <f>G127*AA50</f>
        <v>3517.3125</v>
      </c>
    </row>
    <row r="122" spans="1:32" ht="15.75" x14ac:dyDescent="0.25">
      <c r="A122" s="267" t="s">
        <v>199</v>
      </c>
      <c r="B122" s="36"/>
      <c r="C122" s="36"/>
      <c r="D122" s="36"/>
      <c r="E122" s="69"/>
      <c r="F122" s="105"/>
      <c r="G122" s="78">
        <f>AA108</f>
        <v>0</v>
      </c>
      <c r="H122" s="72">
        <f>AA109</f>
        <v>0</v>
      </c>
      <c r="I122" s="26"/>
      <c r="J122" s="1"/>
      <c r="K122" s="25"/>
      <c r="L122" s="1"/>
      <c r="O122" s="27">
        <f ca="1">AA119</f>
        <v>0</v>
      </c>
      <c r="AA122" s="2">
        <f>E134/36500*(D23*D24/100*(D16*D38+E29*E38)+H101*SUM(I1792:I1797,H84,H99,I1830:I1836,I1841:I1845))</f>
        <v>25800.122140411913</v>
      </c>
    </row>
    <row r="123" spans="1:32" ht="15.75" x14ac:dyDescent="0.25">
      <c r="A123" s="40" t="s">
        <v>118</v>
      </c>
      <c r="B123" s="36"/>
      <c r="C123" s="36"/>
      <c r="D123" s="36"/>
      <c r="E123" s="69"/>
      <c r="F123" s="105"/>
      <c r="G123" s="78">
        <f>AA110</f>
        <v>0</v>
      </c>
      <c r="H123" s="72">
        <f>AA111</f>
        <v>0</v>
      </c>
      <c r="I123" s="26"/>
      <c r="J123" s="1"/>
      <c r="K123" s="25"/>
      <c r="L123" s="1"/>
      <c r="O123" s="27">
        <f ca="1">AA123</f>
        <v>0</v>
      </c>
      <c r="AA123" s="2">
        <f ca="1">IF(K94=0,0,HLOOKUP(A2,INDIRECT(K30),3, FALSE)*INDIRECT(K94)*0.01)</f>
        <v>0</v>
      </c>
    </row>
    <row r="124" spans="1:32" ht="15.75" x14ac:dyDescent="0.25">
      <c r="A124" s="56"/>
      <c r="B124" s="36"/>
      <c r="C124" s="36"/>
      <c r="D124" s="36"/>
      <c r="E124" s="50"/>
      <c r="F124" s="49"/>
      <c r="G124" s="49"/>
      <c r="H124" s="48"/>
      <c r="I124" s="26"/>
      <c r="J124" s="1"/>
      <c r="K124" s="25"/>
      <c r="L124" s="1"/>
      <c r="O124" s="27">
        <f ca="1">AA126</f>
        <v>0</v>
      </c>
      <c r="AA124" s="2">
        <f>IF(F128&gt;0,F128/AA50,E128)</f>
        <v>7.2498534036995572</v>
      </c>
    </row>
    <row r="125" spans="1:32" ht="15.75" x14ac:dyDescent="0.25">
      <c r="A125" s="56"/>
      <c r="B125" s="36"/>
      <c r="C125" s="36"/>
      <c r="D125" s="59"/>
      <c r="E125" s="106"/>
      <c r="F125" s="59"/>
      <c r="G125" s="59" t="s">
        <v>129</v>
      </c>
      <c r="H125" s="81" t="s">
        <v>130</v>
      </c>
      <c r="I125" s="26"/>
      <c r="J125" s="1"/>
      <c r="K125" s="25"/>
      <c r="L125" s="1"/>
      <c r="O125" s="27">
        <f ca="1">AA129</f>
        <v>0</v>
      </c>
      <c r="AA125" s="2">
        <f>G128*AA50</f>
        <v>4250</v>
      </c>
    </row>
    <row r="126" spans="1:32" ht="15.75" x14ac:dyDescent="0.25">
      <c r="A126" s="56"/>
      <c r="B126" s="43"/>
      <c r="C126" s="36"/>
      <c r="D126" s="106"/>
      <c r="E126" s="59" t="s">
        <v>129</v>
      </c>
      <c r="F126" s="59" t="s">
        <v>130</v>
      </c>
      <c r="G126" s="59"/>
      <c r="H126" s="81"/>
      <c r="I126" s="26"/>
      <c r="J126" s="1"/>
      <c r="K126" s="25"/>
      <c r="L126" s="1"/>
      <c r="O126" s="27">
        <f ca="1">AA133</f>
        <v>0</v>
      </c>
      <c r="AA126" s="2">
        <f ca="1">IF(K95=0,0,HLOOKUP(A2,INDIRECT(K30),4, FALSE)*INDIRECT(K95)*0.01)</f>
        <v>0</v>
      </c>
      <c r="AB126" s="4"/>
    </row>
    <row r="127" spans="1:32" ht="15.75" x14ac:dyDescent="0.25">
      <c r="A127" s="52" t="s">
        <v>120</v>
      </c>
      <c r="B127" s="36"/>
      <c r="C127" s="36"/>
      <c r="D127" s="106"/>
      <c r="E127" s="69">
        <v>6</v>
      </c>
      <c r="F127" s="107"/>
      <c r="G127" s="78">
        <f>AA120</f>
        <v>6</v>
      </c>
      <c r="H127" s="72">
        <f>AA121</f>
        <v>3517.3125</v>
      </c>
      <c r="I127" s="26"/>
      <c r="J127" s="1"/>
      <c r="K127" s="25"/>
      <c r="L127" s="1"/>
      <c r="O127" s="27"/>
      <c r="AA127" s="2">
        <f>IF(F129&gt;0,F129/D16,E129)</f>
        <v>24.734793965563195</v>
      </c>
    </row>
    <row r="128" spans="1:32" ht="15.75" x14ac:dyDescent="0.25">
      <c r="A128" s="267" t="s">
        <v>245</v>
      </c>
      <c r="B128" s="36"/>
      <c r="C128" s="36"/>
      <c r="D128" s="106"/>
      <c r="E128" s="69">
        <f>CapitalInvestment!D21</f>
        <v>7.2498534036995572</v>
      </c>
      <c r="F128" s="107"/>
      <c r="G128" s="78">
        <f>AA124</f>
        <v>7.2498534036995572</v>
      </c>
      <c r="H128" s="72">
        <f>AA125</f>
        <v>4250</v>
      </c>
      <c r="I128" s="26"/>
      <c r="J128" s="1"/>
      <c r="K128" s="25"/>
      <c r="L128" s="1"/>
      <c r="O128" s="27"/>
      <c r="AA128" s="2">
        <f>G129*AA50</f>
        <v>14500</v>
      </c>
    </row>
    <row r="129" spans="1:31" ht="15.75" x14ac:dyDescent="0.25">
      <c r="A129" s="267" t="s">
        <v>246</v>
      </c>
      <c r="B129" s="49"/>
      <c r="C129" s="36"/>
      <c r="D129" s="106"/>
      <c r="E129" s="69">
        <f>CapitalInvestment!D20</f>
        <v>24.734793965563195</v>
      </c>
      <c r="F129" s="107"/>
      <c r="G129" s="78">
        <f>AA127</f>
        <v>24.734793965563195</v>
      </c>
      <c r="H129" s="72">
        <f>AA128</f>
        <v>14500</v>
      </c>
      <c r="I129" s="26"/>
      <c r="J129" s="1"/>
      <c r="K129" s="25"/>
      <c r="L129" s="1"/>
      <c r="O129" s="27">
        <f ca="1">AA138</f>
        <v>0</v>
      </c>
      <c r="AA129" s="2">
        <f ca="1">IF(K96=0,0,HLOOKUP(A2,INDIRECT(K30),5, FALSE)*INDIRECT(K96)*0.01)</f>
        <v>0</v>
      </c>
    </row>
    <row r="130" spans="1:31" ht="15.75" x14ac:dyDescent="0.25">
      <c r="A130" s="40" t="s">
        <v>247</v>
      </c>
      <c r="B130" s="36"/>
      <c r="C130" s="36"/>
      <c r="D130" s="106"/>
      <c r="E130" s="69"/>
      <c r="F130" s="107"/>
      <c r="G130" s="78">
        <f>AA130</f>
        <v>0</v>
      </c>
      <c r="H130" s="72">
        <f>AA131</f>
        <v>0</v>
      </c>
      <c r="I130" s="26"/>
      <c r="J130" s="1"/>
      <c r="K130" s="25"/>
      <c r="L130" s="1"/>
      <c r="O130" s="27"/>
      <c r="AA130" s="2">
        <f>IF(F130&gt;0,F130/AA50,E130)</f>
        <v>0</v>
      </c>
    </row>
    <row r="131" spans="1:31" ht="15.75" x14ac:dyDescent="0.25">
      <c r="A131" s="40" t="s">
        <v>119</v>
      </c>
      <c r="B131" s="49"/>
      <c r="C131" s="36"/>
      <c r="D131" s="106"/>
      <c r="E131" s="69">
        <v>20</v>
      </c>
      <c r="F131" s="107"/>
      <c r="G131" s="78">
        <f>AA134</f>
        <v>20</v>
      </c>
      <c r="H131" s="72">
        <f>AA135</f>
        <v>11724.375</v>
      </c>
      <c r="I131" s="26"/>
      <c r="J131" s="1"/>
      <c r="K131" s="26"/>
      <c r="L131" s="1"/>
      <c r="O131" s="27"/>
      <c r="AA131" s="4">
        <f>G130*AA50</f>
        <v>0</v>
      </c>
    </row>
    <row r="132" spans="1:31" ht="15.75" x14ac:dyDescent="0.25">
      <c r="A132" s="40"/>
      <c r="B132" s="49"/>
      <c r="C132" s="36"/>
      <c r="D132" s="106"/>
      <c r="E132" s="43"/>
      <c r="F132" s="36"/>
      <c r="G132" s="49"/>
      <c r="H132" s="48"/>
      <c r="I132" s="25"/>
      <c r="J132" s="1"/>
      <c r="K132" s="26"/>
      <c r="L132" s="1"/>
      <c r="AA132" s="2">
        <f>D29*D38+E29*E38</f>
        <v>141514.28571428574</v>
      </c>
    </row>
    <row r="133" spans="1:31" ht="15.75" x14ac:dyDescent="0.25">
      <c r="A133" s="40" t="s">
        <v>121</v>
      </c>
      <c r="B133" s="49"/>
      <c r="C133" s="36"/>
      <c r="D133" s="106"/>
      <c r="E133" s="59" t="s">
        <v>248</v>
      </c>
      <c r="F133" s="36"/>
      <c r="G133" s="49"/>
      <c r="H133" s="48"/>
      <c r="I133" s="26"/>
      <c r="J133" s="9"/>
      <c r="K133" s="26"/>
      <c r="L133" s="1"/>
      <c r="AA133" s="2">
        <f ca="1">IF(K97=0,0,HLOOKUP(A2,INDIRECT(K30),6, FALSE)*INDIRECT(K97)*0.01)</f>
        <v>0</v>
      </c>
    </row>
    <row r="134" spans="1:31" ht="15.75" x14ac:dyDescent="0.25">
      <c r="A134" s="40" t="s">
        <v>122</v>
      </c>
      <c r="B134" s="49"/>
      <c r="C134" s="36"/>
      <c r="D134" s="106"/>
      <c r="E134" s="69">
        <v>4.95</v>
      </c>
      <c r="F134" s="36"/>
      <c r="G134" s="78">
        <f ca="1">AA139</f>
        <v>22.318156453469289</v>
      </c>
      <c r="H134" s="72">
        <f ca="1">AA140</f>
        <v>13083.321778457201</v>
      </c>
      <c r="I134" s="24">
        <f>AA168</f>
        <v>0</v>
      </c>
      <c r="J134" s="12" t="s">
        <v>35</v>
      </c>
      <c r="K134" s="24">
        <f ca="1">AA169</f>
        <v>89855.165528457204</v>
      </c>
      <c r="L134" s="1"/>
      <c r="AA134" s="2">
        <f>IF(F131&gt;0,F131/AA50,E131)</f>
        <v>20</v>
      </c>
    </row>
    <row r="135" spans="1:31" ht="15.75" x14ac:dyDescent="0.25">
      <c r="A135" s="56"/>
      <c r="B135" s="36"/>
      <c r="C135" s="36"/>
      <c r="D135" s="43"/>
      <c r="E135" s="84"/>
      <c r="F135" s="36"/>
      <c r="G135" s="59" t="s">
        <v>34</v>
      </c>
      <c r="H135" s="81" t="s">
        <v>34</v>
      </c>
      <c r="I135" s="24">
        <f>AA170</f>
        <v>558080.25</v>
      </c>
      <c r="J135" s="12" t="s">
        <v>36</v>
      </c>
      <c r="K135" s="24">
        <f ca="1">AA171</f>
        <v>312922.21909684932</v>
      </c>
      <c r="L135" s="1"/>
      <c r="AA135" s="2">
        <f>G131*AA50</f>
        <v>11724.375</v>
      </c>
    </row>
    <row r="136" spans="1:31" ht="15.75" x14ac:dyDescent="0.25">
      <c r="A136" s="40" t="s">
        <v>123</v>
      </c>
      <c r="B136" s="36"/>
      <c r="C136" s="36"/>
      <c r="D136" s="36"/>
      <c r="E136" s="84"/>
      <c r="F136" s="49"/>
      <c r="G136" s="78">
        <f ca="1">AA141</f>
        <v>921.11843710046355</v>
      </c>
      <c r="H136" s="72">
        <f ca="1">AA142</f>
        <v>539976.89879898739</v>
      </c>
      <c r="I136" s="24">
        <f>AA172</f>
        <v>949436347.0556252</v>
      </c>
      <c r="J136" s="12" t="s">
        <v>37</v>
      </c>
      <c r="K136" s="24" t="e">
        <f ca="1">AA173</f>
        <v>#REF!</v>
      </c>
      <c r="L136" s="1"/>
      <c r="AA136" s="2">
        <f>E134/100*D23*D24/100*I107/365</f>
        <v>2395.1195929549908</v>
      </c>
    </row>
    <row r="137" spans="1:31" ht="15.75" x14ac:dyDescent="0.25">
      <c r="A137" s="56"/>
      <c r="B137" s="36"/>
      <c r="C137" s="36"/>
      <c r="D137" s="36"/>
      <c r="E137" s="84"/>
      <c r="F137" s="36"/>
      <c r="G137" s="36"/>
      <c r="H137" s="63"/>
      <c r="I137" s="26"/>
      <c r="J137" s="1"/>
      <c r="K137" s="25"/>
      <c r="L137" s="1"/>
      <c r="AA137" s="2">
        <f>E134/100*0.5*SUM(H65:H70,H99,H106:H116,H118:H123,H127:H131)</f>
        <v>10688.20218550221</v>
      </c>
      <c r="AB137" s="3"/>
    </row>
    <row r="138" spans="1:31" ht="15.75" x14ac:dyDescent="0.25">
      <c r="A138" s="91"/>
      <c r="B138" s="36"/>
      <c r="C138" s="36"/>
      <c r="D138" s="36"/>
      <c r="E138" s="296" t="s">
        <v>195</v>
      </c>
      <c r="F138" s="268"/>
      <c r="G138" s="36"/>
      <c r="H138" s="42"/>
      <c r="I138" s="24">
        <f>AA174</f>
        <v>0</v>
      </c>
      <c r="J138" s="9"/>
      <c r="K138" s="25"/>
      <c r="L138" s="1"/>
      <c r="AA138" s="2">
        <f ca="1">IF(K101=0,0,HLOOKUP(A2,INDIRECT(K30),7, FALSE)*INDIRECT(K101)*0.01)</f>
        <v>0</v>
      </c>
    </row>
    <row r="139" spans="1:31" ht="15.75" x14ac:dyDescent="0.25">
      <c r="A139" s="56"/>
      <c r="B139" s="36"/>
      <c r="C139" s="85"/>
      <c r="D139" s="106"/>
      <c r="E139" s="269"/>
      <c r="F139" s="269"/>
      <c r="G139" s="59" t="s">
        <v>129</v>
      </c>
      <c r="H139" s="72" t="s">
        <v>130</v>
      </c>
      <c r="I139" s="24">
        <f>AA175</f>
        <v>94950570.466736108</v>
      </c>
      <c r="J139" s="1"/>
      <c r="K139" s="25"/>
      <c r="L139" s="1"/>
      <c r="AA139" s="2">
        <f ca="1">H134/AA50</f>
        <v>22.318156453469289</v>
      </c>
    </row>
    <row r="140" spans="1:31" ht="15.75" x14ac:dyDescent="0.25">
      <c r="A140" s="40" t="s">
        <v>124</v>
      </c>
      <c r="B140" s="36"/>
      <c r="C140" s="85"/>
      <c r="D140" s="106"/>
      <c r="E140" s="269" t="s">
        <v>129</v>
      </c>
      <c r="F140" s="273" t="s">
        <v>130</v>
      </c>
      <c r="G140" s="59"/>
      <c r="H140" s="81"/>
      <c r="I140" s="24">
        <f>AA178</f>
        <v>3959585018.6219697</v>
      </c>
      <c r="J140" s="13"/>
      <c r="K140" s="25"/>
      <c r="L140" s="1"/>
      <c r="AA140" s="2">
        <f ca="1">IF(O129=0,I108+I109,IF(INDIRECT(K101)&gt;0,O129,I108+I109))</f>
        <v>13083.321778457201</v>
      </c>
      <c r="AB140" s="2" t="s">
        <v>91</v>
      </c>
      <c r="AC140" s="202" t="s">
        <v>92</v>
      </c>
      <c r="AD140" s="2" t="s">
        <v>93</v>
      </c>
    </row>
    <row r="141" spans="1:31" ht="15.75" x14ac:dyDescent="0.25">
      <c r="A141" s="267" t="s">
        <v>125</v>
      </c>
      <c r="B141" s="36"/>
      <c r="C141" s="85"/>
      <c r="D141" s="106"/>
      <c r="E141" s="69">
        <f>CapitalInvestment!D27</f>
        <v>68.703022549176396</v>
      </c>
      <c r="F141" s="108"/>
      <c r="G141" s="78">
        <f>AA145</f>
        <v>68.703022549176396</v>
      </c>
      <c r="H141" s="72">
        <f>AA146</f>
        <v>40275</v>
      </c>
      <c r="I141" s="24">
        <f>AA181</f>
        <v>14161572693.290039</v>
      </c>
      <c r="J141" s="9"/>
      <c r="K141" s="25"/>
      <c r="L141" s="1"/>
      <c r="AA141" s="2">
        <f ca="1">H136/AA50</f>
        <v>921.11843710046355</v>
      </c>
      <c r="AC141" s="3">
        <f ca="1">SUM(AB116,AB95,AB88:AC88,AC81:AD81,H116:H121,H127:H131,H134)</f>
        <v>531150.95285304135</v>
      </c>
      <c r="AD141" s="3">
        <f ca="1">SUM(AD116,AC95,AD88,AE81,H116:H121,H127:H134)</f>
        <v>106309.73410304141</v>
      </c>
      <c r="AE141" s="3"/>
    </row>
    <row r="142" spans="1:31" ht="15.75" x14ac:dyDescent="0.25">
      <c r="A142" s="267" t="s">
        <v>126</v>
      </c>
      <c r="B142" s="36"/>
      <c r="C142" s="85"/>
      <c r="D142" s="106"/>
      <c r="E142" s="69">
        <f>CapitalInvestment!D33</f>
        <v>55.269470654086035</v>
      </c>
      <c r="F142" s="108"/>
      <c r="G142" s="78">
        <f>AA148</f>
        <v>55.269470654086035</v>
      </c>
      <c r="H142" s="72">
        <f>AA149</f>
        <v>32399.999999999996</v>
      </c>
      <c r="I142" s="24">
        <f>AA182</f>
        <v>189817.04139525528</v>
      </c>
      <c r="J142" s="9"/>
      <c r="K142" s="25"/>
      <c r="L142" s="1"/>
      <c r="O142" s="27" t="s">
        <v>29</v>
      </c>
      <c r="AA142" s="3">
        <f ca="1">SUM(H84,H99,H106:H124,H127:H134,H87)</f>
        <v>539976.89879898739</v>
      </c>
      <c r="AB142" s="2" t="s">
        <v>94</v>
      </c>
      <c r="AC142" s="2">
        <f ca="1">IF(D14=0,NA(),AC141/D55*100)</f>
        <v>129.43753087125666</v>
      </c>
      <c r="AD142" s="2" t="e">
        <f>IF(G29=0,NA(),AD141/D56*100)</f>
        <v>#N/A</v>
      </c>
    </row>
    <row r="143" spans="1:31" ht="15.75" x14ac:dyDescent="0.25">
      <c r="A143" s="40" t="s">
        <v>127</v>
      </c>
      <c r="B143" s="36"/>
      <c r="C143" s="85"/>
      <c r="D143" s="106"/>
      <c r="E143" s="69"/>
      <c r="F143" s="108"/>
      <c r="G143" s="78">
        <f>AA151</f>
        <v>0</v>
      </c>
      <c r="H143" s="72">
        <f>AA152</f>
        <v>0</v>
      </c>
      <c r="I143" s="24">
        <f>AA183</f>
        <v>138440.36422400718</v>
      </c>
      <c r="J143" s="10" t="s">
        <v>19</v>
      </c>
      <c r="K143" s="24">
        <f ca="1">AA184</f>
        <v>-98.617877369134618</v>
      </c>
      <c r="L143" s="1"/>
      <c r="O143" s="27">
        <f ca="1">AA144</f>
        <v>0</v>
      </c>
      <c r="AA143" s="2" t="str">
        <f>" "&amp;FIXED(D16,0,TRUE)&amp;" Calf"</f>
        <v xml:space="preserve"> 650 Calf</v>
      </c>
      <c r="AB143" s="2" t="s">
        <v>95</v>
      </c>
      <c r="AC143" s="3">
        <f ca="1">SUM(AC141,H146)</f>
        <v>607065.95285304135</v>
      </c>
      <c r="AD143" s="3">
        <f ca="1">SUM(AD141,H146)</f>
        <v>182224.73410304141</v>
      </c>
    </row>
    <row r="144" spans="1:31" ht="15.75" x14ac:dyDescent="0.25">
      <c r="A144" s="267" t="s">
        <v>200</v>
      </c>
      <c r="B144" s="36"/>
      <c r="C144" s="85"/>
      <c r="D144" s="106"/>
      <c r="E144" s="69">
        <f>CapitalInvestment!D36+CapitalInvestment!D37</f>
        <v>5.5269470654086037</v>
      </c>
      <c r="F144" s="108"/>
      <c r="G144" s="78">
        <f>AA154</f>
        <v>5.5269470654086037</v>
      </c>
      <c r="H144" s="72">
        <f>AA155</f>
        <v>3240</v>
      </c>
      <c r="I144" s="24">
        <f>AA185</f>
        <v>212.9851757292418</v>
      </c>
      <c r="J144" s="12" t="s">
        <v>39</v>
      </c>
      <c r="K144" s="24">
        <f ca="1">AA186</f>
        <v>21.414133228962818</v>
      </c>
      <c r="L144" s="1"/>
      <c r="O144" s="27">
        <f ca="1">AA147</f>
        <v>0</v>
      </c>
      <c r="AA144" s="2">
        <f ca="1">IF(K107=0,0,HLOOKUP(A2,INDIRECT(K30),9, FALSE)*INDIRECT(K107)*0.01)</f>
        <v>0</v>
      </c>
      <c r="AC144" s="2">
        <f ca="1">AC143/D55*100</f>
        <v>147.93745090963822</v>
      </c>
      <c r="AD144" s="2" t="e">
        <f ca="1">AD143/D56*100</f>
        <v>#DIV/0!</v>
      </c>
    </row>
    <row r="145" spans="1:30" ht="15.75" x14ac:dyDescent="0.25">
      <c r="A145" s="56"/>
      <c r="B145" s="36"/>
      <c r="C145" s="85"/>
      <c r="D145" s="43"/>
      <c r="E145" s="49"/>
      <c r="F145" s="109"/>
      <c r="G145" s="59" t="s">
        <v>34</v>
      </c>
      <c r="H145" s="81" t="s">
        <v>34</v>
      </c>
      <c r="I145" s="25"/>
      <c r="J145" s="1"/>
      <c r="K145" s="25"/>
      <c r="L145" s="1"/>
      <c r="O145" s="27">
        <f ca="1">AA150</f>
        <v>0</v>
      </c>
      <c r="AA145" s="2">
        <f>IF(F141&gt;0,F141/AA50,E141)</f>
        <v>68.703022549176396</v>
      </c>
      <c r="AB145" s="2" t="s">
        <v>91</v>
      </c>
      <c r="AC145" s="3">
        <f ca="1">AF117+SUM(H116:H121,H127:H131,H134)</f>
        <v>531150.95285304147</v>
      </c>
      <c r="AD145" s="2">
        <f ca="1">AC145/SUM(D55:D56)*100</f>
        <v>129.43753087125666</v>
      </c>
    </row>
    <row r="146" spans="1:30" ht="15.75" x14ac:dyDescent="0.25">
      <c r="A146" s="40" t="s">
        <v>128</v>
      </c>
      <c r="B146" s="36"/>
      <c r="C146" s="85"/>
      <c r="D146" s="43"/>
      <c r="E146" s="49"/>
      <c r="F146" s="50"/>
      <c r="G146" s="78">
        <f>AA156</f>
        <v>129.49944026867104</v>
      </c>
      <c r="H146" s="72">
        <f>AA157</f>
        <v>75915</v>
      </c>
      <c r="I146" s="27" t="s">
        <v>41</v>
      </c>
      <c r="J146" s="27" t="s">
        <v>42</v>
      </c>
      <c r="K146" s="27" t="s">
        <v>43</v>
      </c>
      <c r="L146" s="1"/>
      <c r="O146" s="27">
        <f ca="1">AA153</f>
        <v>0</v>
      </c>
      <c r="AA146" s="2">
        <f>G141*AA50</f>
        <v>40275</v>
      </c>
      <c r="AB146" s="2" t="s">
        <v>97</v>
      </c>
      <c r="AC146" s="23">
        <f ca="1">AB117+AD117+SUM(H116:H121,H127:H131,H134,H146)</f>
        <v>607065.95285304147</v>
      </c>
      <c r="AD146" s="23">
        <f ca="1">AC146/SUM(D55:D56)*100</f>
        <v>147.93745090963824</v>
      </c>
    </row>
    <row r="147" spans="1:30" ht="15.75" x14ac:dyDescent="0.25">
      <c r="A147" s="56"/>
      <c r="B147" s="36"/>
      <c r="C147" s="36"/>
      <c r="D147" s="43"/>
      <c r="E147" s="49"/>
      <c r="F147" s="49"/>
      <c r="G147" s="49"/>
      <c r="H147" s="48"/>
      <c r="I147" s="24">
        <f ca="1">AA190</f>
        <v>0.46302695495813739</v>
      </c>
      <c r="J147" s="24">
        <f ca="1">AA191</f>
        <v>0.46302695495813739</v>
      </c>
      <c r="K147" s="24">
        <f ca="1">AA192</f>
        <v>0.36248412067099617</v>
      </c>
      <c r="L147" s="1"/>
      <c r="O147" s="27"/>
      <c r="AA147" s="2">
        <f ca="1">IF(K108=0,0,HLOOKUP(A2,INDIRECT(K30),10, FALSE)*INDIRECT(K108)*0.01)</f>
        <v>0</v>
      </c>
    </row>
    <row r="148" spans="1:30" ht="15.75" x14ac:dyDescent="0.25">
      <c r="A148" s="53"/>
      <c r="B148" s="53"/>
      <c r="C148" s="53"/>
      <c r="D148" s="53"/>
      <c r="E148" s="53"/>
      <c r="F148" s="53"/>
      <c r="G148" s="53"/>
      <c r="H148" s="53"/>
      <c r="I148" s="24">
        <f ca="1">AA193</f>
        <v>0.90313315021295526</v>
      </c>
      <c r="J148" s="24">
        <f ca="1">AA194</f>
        <v>0.90313315021295526</v>
      </c>
      <c r="K148" s="24">
        <f ca="1">AA195</f>
        <v>0.92253772637441489</v>
      </c>
      <c r="L148" s="1"/>
      <c r="O148" s="27"/>
      <c r="AA148" s="2">
        <f>IF(F142&gt;0,F142/AA50,E142)</f>
        <v>55.269470654086035</v>
      </c>
    </row>
    <row r="149" spans="1:30" ht="15.75" x14ac:dyDescent="0.25">
      <c r="A149" s="40"/>
      <c r="B149" s="36"/>
      <c r="C149" s="36"/>
      <c r="D149" s="36"/>
      <c r="E149" s="201" t="s">
        <v>129</v>
      </c>
      <c r="F149" s="49"/>
      <c r="G149" s="36"/>
      <c r="H149" s="42"/>
      <c r="I149" s="24">
        <f ca="1">AA196</f>
        <v>0.35838927886383154</v>
      </c>
      <c r="J149" s="24">
        <f ca="1">AA197</f>
        <v>0.35838927886383154</v>
      </c>
      <c r="K149" s="24">
        <f ca="1">AA198</f>
        <v>0.37357522070110738</v>
      </c>
      <c r="L149" s="1"/>
      <c r="AA149" s="2">
        <f>G142*AA50</f>
        <v>32399.999999999996</v>
      </c>
    </row>
    <row r="150" spans="1:30" ht="15.75" x14ac:dyDescent="0.25">
      <c r="A150" s="40" t="s">
        <v>249</v>
      </c>
      <c r="B150" s="50"/>
      <c r="C150" s="49"/>
      <c r="D150" s="49"/>
      <c r="E150" s="269" t="s">
        <v>201</v>
      </c>
      <c r="F150" s="59" t="s">
        <v>130</v>
      </c>
      <c r="G150" s="50"/>
      <c r="H150" s="45"/>
      <c r="I150" s="24">
        <f ca="1">AA199</f>
        <v>0.32167253715164135</v>
      </c>
      <c r="J150" s="24">
        <f ca="1">AA200</f>
        <v>0.32167253715164135</v>
      </c>
      <c r="K150" s="24">
        <f ca="1">AA201</f>
        <v>0.35849520210428115</v>
      </c>
      <c r="L150" s="1"/>
      <c r="AA150" s="2">
        <f ca="1">IF(K109=0,0,HLOOKUP(A2,INDIRECT(K30),11, FALSE)*INDIRECT(K109)*0.01)</f>
        <v>0</v>
      </c>
      <c r="AB150" s="4"/>
    </row>
    <row r="151" spans="1:30" ht="15.75" x14ac:dyDescent="0.25">
      <c r="A151" s="40" t="s">
        <v>250</v>
      </c>
      <c r="B151" s="50"/>
      <c r="C151" s="49"/>
      <c r="D151" s="49"/>
      <c r="E151" s="62">
        <f>AA158</f>
        <v>952</v>
      </c>
      <c r="F151" s="62">
        <f>AA159</f>
        <v>558080.25</v>
      </c>
      <c r="G151" s="44"/>
      <c r="H151" s="45"/>
      <c r="I151" s="25"/>
      <c r="J151" s="1"/>
      <c r="K151" s="25"/>
      <c r="L151" s="1"/>
      <c r="AA151" s="2">
        <f>IF(F143&gt;0,F143/AA50,E143)</f>
        <v>0</v>
      </c>
    </row>
    <row r="152" spans="1:30" ht="15.75" x14ac:dyDescent="0.25">
      <c r="A152" s="40" t="s">
        <v>131</v>
      </c>
      <c r="B152" s="50"/>
      <c r="C152" s="49"/>
      <c r="D152" s="49"/>
      <c r="E152" s="62">
        <f ca="1">AA160</f>
        <v>921.11843710046355</v>
      </c>
      <c r="F152" s="62">
        <f ca="1">AA161</f>
        <v>539976.89879898739</v>
      </c>
      <c r="G152" s="44"/>
      <c r="H152" s="60"/>
      <c r="I152" s="25"/>
      <c r="J152" s="1"/>
      <c r="K152" s="25"/>
      <c r="L152" s="1"/>
      <c r="AA152" s="2">
        <f>G143*AA50</f>
        <v>0</v>
      </c>
      <c r="AB152" s="3"/>
    </row>
    <row r="153" spans="1:30" ht="15.75" x14ac:dyDescent="0.25">
      <c r="A153" s="56"/>
      <c r="B153" s="50"/>
      <c r="C153" s="49"/>
      <c r="D153" s="43"/>
      <c r="E153" s="59" t="s">
        <v>34</v>
      </c>
      <c r="F153" s="59" t="s">
        <v>34</v>
      </c>
      <c r="G153" s="44"/>
      <c r="H153" s="45"/>
      <c r="I153" s="25"/>
      <c r="J153" s="1"/>
      <c r="K153" s="25"/>
      <c r="L153" s="1"/>
      <c r="AA153" s="2">
        <f ca="1">IF(K110=0,0,HLOOKUP(A2,INDIRECT(K30),12, FALSE)*INDIRECT(K110)*0.01)</f>
        <v>0</v>
      </c>
    </row>
    <row r="154" spans="1:30" ht="15.75" x14ac:dyDescent="0.25">
      <c r="A154" s="40" t="s">
        <v>132</v>
      </c>
      <c r="B154" s="50"/>
      <c r="C154" s="49"/>
      <c r="D154" s="49"/>
      <c r="E154" s="62">
        <f ca="1">AA162</f>
        <v>30.881562899536416</v>
      </c>
      <c r="F154" s="62">
        <f ca="1">AA163</f>
        <v>18103.351201012614</v>
      </c>
      <c r="G154" s="44"/>
      <c r="H154" s="45"/>
      <c r="I154" s="25"/>
      <c r="J154" s="1"/>
      <c r="K154" s="25"/>
      <c r="L154" s="1"/>
      <c r="AA154" s="2">
        <f>IF(F144&gt;0,F144/AA50,E144)</f>
        <v>5.5269470654086037</v>
      </c>
      <c r="AB154" s="29"/>
    </row>
    <row r="155" spans="1:30" ht="15.75" x14ac:dyDescent="0.25">
      <c r="A155" s="40" t="s">
        <v>133</v>
      </c>
      <c r="B155" s="36"/>
      <c r="C155" s="36"/>
      <c r="D155" s="49"/>
      <c r="E155" s="62">
        <f>AA164</f>
        <v>129.49944026867104</v>
      </c>
      <c r="F155" s="62">
        <f>AA165</f>
        <v>75915</v>
      </c>
      <c r="G155" s="44"/>
      <c r="H155" s="45"/>
      <c r="I155" s="25"/>
      <c r="J155" s="1"/>
      <c r="K155" s="25"/>
      <c r="L155" s="1"/>
      <c r="AA155" s="4">
        <f>G144*AA50</f>
        <v>3240</v>
      </c>
    </row>
    <row r="156" spans="1:30" ht="15.75" x14ac:dyDescent="0.25">
      <c r="A156" s="91"/>
      <c r="B156" s="36"/>
      <c r="C156" s="36"/>
      <c r="D156" s="36"/>
      <c r="E156" s="59" t="s">
        <v>34</v>
      </c>
      <c r="F156" s="59" t="s">
        <v>34</v>
      </c>
      <c r="G156" s="44"/>
      <c r="H156" s="45"/>
      <c r="I156" s="25"/>
      <c r="J156" s="1"/>
      <c r="K156" s="25"/>
      <c r="L156" s="1"/>
      <c r="AA156" s="2">
        <f>H146/AA50</f>
        <v>129.49944026867104</v>
      </c>
      <c r="AB156" s="3"/>
    </row>
    <row r="157" spans="1:30" ht="15.75" x14ac:dyDescent="0.25">
      <c r="A157" s="40" t="s">
        <v>251</v>
      </c>
      <c r="B157" s="36"/>
      <c r="C157" s="36"/>
      <c r="D157" s="49"/>
      <c r="E157" s="62">
        <f ca="1">AA166</f>
        <v>-98.617877369134618</v>
      </c>
      <c r="F157" s="62">
        <f ca="1">AA167</f>
        <v>-57811.648798987386</v>
      </c>
      <c r="G157" s="36"/>
      <c r="H157" s="42"/>
      <c r="I157" s="25"/>
      <c r="J157" s="1"/>
      <c r="K157" s="25"/>
      <c r="L157" s="1"/>
      <c r="AA157" s="3">
        <f>SUM(H141:H144)</f>
        <v>75915</v>
      </c>
    </row>
    <row r="158" spans="1:30" ht="15.75" x14ac:dyDescent="0.25">
      <c r="A158" s="40"/>
      <c r="B158" s="36"/>
      <c r="C158" s="36"/>
      <c r="D158" s="49"/>
      <c r="E158" s="49"/>
      <c r="F158" s="49"/>
      <c r="G158" s="50"/>
      <c r="H158" s="48"/>
      <c r="I158" s="25"/>
      <c r="J158" s="1"/>
      <c r="K158" s="25"/>
      <c r="L158" s="1"/>
      <c r="AA158" s="2">
        <f>F151/AA50</f>
        <v>952</v>
      </c>
      <c r="AB158" s="3"/>
      <c r="AC158" s="30"/>
    </row>
    <row r="159" spans="1:30" ht="15.75" x14ac:dyDescent="0.25">
      <c r="A159" s="91"/>
      <c r="B159" s="36"/>
      <c r="C159" s="36"/>
      <c r="D159" s="36"/>
      <c r="E159" s="36"/>
      <c r="F159" s="49"/>
      <c r="G159" s="50"/>
      <c r="H159" s="48"/>
      <c r="I159" s="25"/>
      <c r="J159" s="1"/>
      <c r="K159" s="25"/>
      <c r="L159" s="1"/>
      <c r="AA159" s="29">
        <f>SUM(I134:I135)</f>
        <v>558080.25</v>
      </c>
      <c r="AC159" s="30"/>
    </row>
    <row r="160" spans="1:30" ht="15.75" x14ac:dyDescent="0.25">
      <c r="A160" s="40" t="s">
        <v>254</v>
      </c>
      <c r="B160" s="36"/>
      <c r="C160" s="36"/>
      <c r="D160" s="37" t="s">
        <v>134</v>
      </c>
      <c r="E160" s="49"/>
      <c r="F160" s="59" t="s">
        <v>135</v>
      </c>
      <c r="G160" s="59" t="s">
        <v>135</v>
      </c>
      <c r="H160" s="48"/>
      <c r="I160" s="25"/>
      <c r="J160" s="1"/>
      <c r="K160" s="25"/>
      <c r="L160" s="1"/>
      <c r="AA160" s="2">
        <f ca="1">F152/AA50</f>
        <v>921.11843710046355</v>
      </c>
      <c r="AB160" s="3"/>
      <c r="AC160" s="30"/>
    </row>
    <row r="161" spans="1:29" ht="15.75" x14ac:dyDescent="0.25">
      <c r="A161" s="91"/>
      <c r="B161" s="36"/>
      <c r="C161" s="36"/>
      <c r="D161" s="36"/>
      <c r="E161" s="36"/>
      <c r="F161" s="59" t="s">
        <v>136</v>
      </c>
      <c r="G161" s="59" t="s">
        <v>137</v>
      </c>
      <c r="H161" s="42"/>
      <c r="I161" s="25"/>
      <c r="J161" s="1"/>
      <c r="K161" s="25"/>
      <c r="L161" s="1"/>
      <c r="AA161" s="3">
        <f ca="1">H136</f>
        <v>539976.89879898739</v>
      </c>
      <c r="AC161" s="30"/>
    </row>
    <row r="162" spans="1:29" ht="15.75" x14ac:dyDescent="0.25">
      <c r="A162" s="91"/>
      <c r="B162" s="36"/>
      <c r="C162" s="36"/>
      <c r="D162" s="36"/>
      <c r="E162" s="43"/>
      <c r="F162" s="59" t="s">
        <v>34</v>
      </c>
      <c r="G162" s="59" t="s">
        <v>34</v>
      </c>
      <c r="H162" s="48"/>
      <c r="I162" s="25"/>
      <c r="J162" s="1"/>
      <c r="K162" s="25"/>
      <c r="L162" s="1"/>
      <c r="AA162" s="2">
        <f ca="1">F154/AA50</f>
        <v>30.881562899536416</v>
      </c>
      <c r="AB162" s="3"/>
      <c r="AC162" s="30"/>
    </row>
    <row r="163" spans="1:29" ht="15.75" x14ac:dyDescent="0.25">
      <c r="A163" s="56"/>
      <c r="B163" s="36"/>
      <c r="C163" s="36"/>
      <c r="D163" s="37"/>
      <c r="E163" s="232" t="s">
        <v>238</v>
      </c>
      <c r="F163" s="78">
        <f ca="1">AD145</f>
        <v>129.43753087125666</v>
      </c>
      <c r="G163" s="78">
        <f ca="1">AD146</f>
        <v>147.93745090963824</v>
      </c>
      <c r="H163" s="42"/>
      <c r="I163" s="215" t="s">
        <v>153</v>
      </c>
      <c r="J163" s="9"/>
      <c r="K163" s="26"/>
      <c r="L163" s="1"/>
      <c r="AA163" s="3">
        <f ca="1">F151-F152</f>
        <v>18103.351201012614</v>
      </c>
      <c r="AC163" s="30"/>
    </row>
    <row r="164" spans="1:29" ht="15.75" x14ac:dyDescent="0.25">
      <c r="A164" s="91"/>
      <c r="B164" s="36"/>
      <c r="C164" s="36"/>
      <c r="D164" s="37"/>
      <c r="E164" s="36"/>
      <c r="F164" s="78"/>
      <c r="G164" s="78"/>
      <c r="H164" s="63"/>
      <c r="I164" s="215" t="s">
        <v>154</v>
      </c>
      <c r="J164" s="9"/>
      <c r="K164" s="26"/>
      <c r="L164" s="1"/>
      <c r="AA164" s="2">
        <f>F155/AA50</f>
        <v>129.49944026867104</v>
      </c>
      <c r="AB164" s="6"/>
      <c r="AC164" s="30"/>
    </row>
    <row r="165" spans="1:29" ht="15.75" x14ac:dyDescent="0.25">
      <c r="A165" s="56"/>
      <c r="B165" s="36"/>
      <c r="C165" s="36"/>
      <c r="D165" s="36"/>
      <c r="E165" s="36"/>
      <c r="F165" s="50"/>
      <c r="G165" s="50"/>
      <c r="H165" s="63"/>
      <c r="I165" s="215" t="s">
        <v>152</v>
      </c>
      <c r="J165" s="9"/>
      <c r="K165" s="26"/>
      <c r="L165" s="1"/>
      <c r="AA165" s="3">
        <f>H146</f>
        <v>75915</v>
      </c>
      <c r="AC165" s="30"/>
    </row>
    <row r="166" spans="1:29" ht="15.75" x14ac:dyDescent="0.25">
      <c r="A166" s="53"/>
      <c r="B166" s="53"/>
      <c r="C166" s="53"/>
      <c r="D166" s="53"/>
      <c r="E166" s="53"/>
      <c r="F166" s="53"/>
      <c r="G166" s="53"/>
      <c r="H166" s="53"/>
      <c r="I166" s="26"/>
      <c r="J166" s="9"/>
      <c r="K166" s="26"/>
      <c r="L166" s="1"/>
      <c r="AA166" s="2">
        <f ca="1">F157/AA50</f>
        <v>-98.617877369134618</v>
      </c>
      <c r="AC166" s="30"/>
    </row>
    <row r="167" spans="1:29" ht="15.75" x14ac:dyDescent="0.25">
      <c r="A167" s="298" t="s">
        <v>202</v>
      </c>
      <c r="B167" s="32"/>
      <c r="C167" s="32"/>
      <c r="D167" s="32"/>
      <c r="E167" s="110"/>
      <c r="F167" s="111"/>
      <c r="G167" s="111"/>
      <c r="H167" s="112"/>
      <c r="I167" s="26"/>
      <c r="J167" s="9"/>
      <c r="K167" s="26"/>
      <c r="L167" s="1"/>
      <c r="AA167" s="3">
        <f ca="1">F154-F155</f>
        <v>-57811.648798987386</v>
      </c>
    </row>
    <row r="168" spans="1:29" ht="15.75" x14ac:dyDescent="0.25">
      <c r="A168" s="56"/>
      <c r="B168" s="37" t="s">
        <v>255</v>
      </c>
      <c r="C168" s="43"/>
      <c r="D168" s="43"/>
      <c r="E168" s="43"/>
      <c r="F168" s="43"/>
      <c r="G168" s="113">
        <f ca="1">AA187</f>
        <v>0.32167253715164135</v>
      </c>
      <c r="H168" s="114" t="s">
        <v>40</v>
      </c>
      <c r="I168" s="25"/>
      <c r="J168" s="1"/>
      <c r="K168" s="25"/>
      <c r="L168" s="1"/>
      <c r="AA168" s="2">
        <f>D30/100*D16*J35*D31*D32/100</f>
        <v>0</v>
      </c>
    </row>
    <row r="169" spans="1:29" ht="15.75" x14ac:dyDescent="0.25">
      <c r="A169" s="91"/>
      <c r="B169" s="37" t="s">
        <v>138</v>
      </c>
      <c r="C169" s="36"/>
      <c r="D169" s="58">
        <v>0</v>
      </c>
      <c r="E169" s="37" t="s">
        <v>139</v>
      </c>
      <c r="F169" s="49"/>
      <c r="G169" s="113">
        <f ca="1">AA188</f>
        <v>0.32167253715164135</v>
      </c>
      <c r="H169" s="114" t="s">
        <v>44</v>
      </c>
      <c r="I169" s="25"/>
      <c r="J169" s="1"/>
      <c r="K169" s="25"/>
      <c r="L169" s="1"/>
      <c r="AA169" s="6">
        <f ca="1">SUM(H99,H118,H121,H127:H134)</f>
        <v>89855.165528457204</v>
      </c>
    </row>
    <row r="170" spans="1:29" ht="15.75" x14ac:dyDescent="0.25">
      <c r="A170" s="91"/>
      <c r="B170" s="211" t="s">
        <v>151</v>
      </c>
      <c r="C170" s="212"/>
      <c r="D170" s="213" t="s">
        <v>146</v>
      </c>
      <c r="E170" s="212"/>
      <c r="F170" s="212"/>
      <c r="G170" s="78">
        <f>AA189</f>
        <v>0.22372392408533803</v>
      </c>
      <c r="H170" s="214" t="str">
        <f>IF(G170&lt;=0.2499,"Risque peu élevé",IF(AND(G170&gt;0.2499,G170&lt;0.4),"Risque moyen","Risque élevé"))</f>
        <v>Risque peu élevé</v>
      </c>
      <c r="I170" s="25"/>
      <c r="J170" s="1"/>
      <c r="K170" s="25"/>
      <c r="L170" s="1"/>
      <c r="AA170" s="2">
        <f>AA52</f>
        <v>558080.25</v>
      </c>
    </row>
    <row r="171" spans="1:29" ht="15.75" x14ac:dyDescent="0.25">
      <c r="A171" s="91"/>
      <c r="B171" s="36"/>
      <c r="C171" s="36"/>
      <c r="D171" s="36"/>
      <c r="E171" s="36"/>
      <c r="F171" s="36"/>
      <c r="G171" s="50"/>
      <c r="H171" s="115" t="s">
        <v>45</v>
      </c>
      <c r="I171" s="25"/>
      <c r="J171" s="1"/>
      <c r="K171" s="25"/>
      <c r="L171" s="1"/>
      <c r="AA171" s="2">
        <f ca="1">H87+I53+H106+H116+H117+H119+(D38*D29/I107)*K134</f>
        <v>312922.21909684932</v>
      </c>
    </row>
    <row r="172" spans="1:29" ht="15.75" x14ac:dyDescent="0.25">
      <c r="A172" s="91"/>
      <c r="B172" s="36"/>
      <c r="C172" s="59" t="s">
        <v>140</v>
      </c>
      <c r="D172" s="61"/>
      <c r="E172" s="59" t="s">
        <v>142</v>
      </c>
      <c r="F172" s="62"/>
      <c r="G172" s="49"/>
      <c r="H172" s="115" t="s">
        <v>46</v>
      </c>
      <c r="I172" s="25"/>
      <c r="J172" s="1"/>
      <c r="K172" s="25"/>
      <c r="L172" s="1"/>
      <c r="AA172" s="2">
        <f>((AD41/100*D35)/(100*J35)*(I134+I135))^2</f>
        <v>949436347.0556252</v>
      </c>
    </row>
    <row r="173" spans="1:29" ht="15.75" x14ac:dyDescent="0.25">
      <c r="A173" s="91"/>
      <c r="B173" s="36"/>
      <c r="C173" s="170" t="s">
        <v>141</v>
      </c>
      <c r="D173" s="61"/>
      <c r="E173" s="59" t="s">
        <v>143</v>
      </c>
      <c r="F173" s="78"/>
      <c r="G173" s="44"/>
      <c r="H173" s="115" t="s">
        <v>47</v>
      </c>
      <c r="I173" s="25"/>
      <c r="J173" s="1"/>
      <c r="K173" s="25"/>
      <c r="L173" s="1"/>
      <c r="AA173" s="2" t="e">
        <f ca="1">K53+(E38*E29/I107)*K134</f>
        <v>#REF!</v>
      </c>
    </row>
    <row r="174" spans="1:29" ht="15.75" x14ac:dyDescent="0.25">
      <c r="A174" s="91"/>
      <c r="B174" s="36"/>
      <c r="C174" s="61"/>
      <c r="D174" s="61"/>
      <c r="E174" s="61"/>
      <c r="F174" s="61"/>
      <c r="G174" s="50"/>
      <c r="H174" s="115" t="s">
        <v>48</v>
      </c>
      <c r="I174" s="25"/>
      <c r="J174" s="1"/>
      <c r="K174" s="25"/>
      <c r="L174" s="1"/>
      <c r="AA174" s="2">
        <f>((AD41/100*F35)/(100*J35)*(I134+I135))^2</f>
        <v>0</v>
      </c>
    </row>
    <row r="175" spans="1:29" ht="15.75" x14ac:dyDescent="0.25">
      <c r="A175" s="91"/>
      <c r="B175" s="43"/>
      <c r="C175" s="62">
        <f ca="1">AA202</f>
        <v>107.97774308822991</v>
      </c>
      <c r="D175" s="61"/>
      <c r="E175" s="59" t="s">
        <v>49</v>
      </c>
      <c r="F175" s="61"/>
      <c r="G175" s="36"/>
      <c r="H175" s="115" t="s">
        <v>50</v>
      </c>
      <c r="I175" s="25"/>
      <c r="J175" s="1"/>
      <c r="K175" s="25"/>
      <c r="L175" s="1"/>
      <c r="AA175" s="2">
        <f>((AD41/100*E35)/(100*J37)*I135)^2</f>
        <v>94950570.466736108</v>
      </c>
    </row>
    <row r="176" spans="1:29" ht="15.75" x14ac:dyDescent="0.25">
      <c r="A176" s="116"/>
      <c r="B176" s="36"/>
      <c r="C176" s="62">
        <f ca="1">AA203</f>
        <v>-7.0342518055606433</v>
      </c>
      <c r="D176" s="59"/>
      <c r="E176" s="59" t="s">
        <v>51</v>
      </c>
      <c r="F176" s="61"/>
      <c r="G176" s="50"/>
      <c r="H176" s="115" t="s">
        <v>52</v>
      </c>
      <c r="I176" s="25"/>
      <c r="J176" s="1"/>
      <c r="K176" s="25"/>
      <c r="L176" s="1"/>
      <c r="AA176" s="2">
        <f ca="1">100*K135/(D29*J35*D31)</f>
        <v>173.48425175154503</v>
      </c>
    </row>
    <row r="177" spans="1:27" ht="15.75" x14ac:dyDescent="0.25">
      <c r="A177" s="116"/>
      <c r="B177" s="49"/>
      <c r="C177" s="62">
        <f ca="1">AA204</f>
        <v>-98.617877369134618</v>
      </c>
      <c r="D177" s="78"/>
      <c r="E177" s="59" t="s">
        <v>53</v>
      </c>
      <c r="F177" s="61"/>
      <c r="G177" s="50"/>
      <c r="H177" s="115" t="s">
        <v>54</v>
      </c>
      <c r="I177" s="25"/>
      <c r="J177" s="1"/>
      <c r="K177" s="25"/>
      <c r="L177" s="1"/>
      <c r="AA177" s="2">
        <f ca="1">F163+(H146/D55)*100</f>
        <v>147.93745090963824</v>
      </c>
    </row>
    <row r="178" spans="1:27" ht="15.75" x14ac:dyDescent="0.25">
      <c r="A178" s="91"/>
      <c r="B178" s="43"/>
      <c r="C178" s="62">
        <f ca="1">AA205</f>
        <v>-190.20150293270859</v>
      </c>
      <c r="D178" s="61"/>
      <c r="E178" s="59" t="s">
        <v>55</v>
      </c>
      <c r="F178" s="61"/>
      <c r="G178" s="50"/>
      <c r="H178" s="115" t="s">
        <v>56</v>
      </c>
      <c r="I178" s="25"/>
      <c r="J178" s="1"/>
      <c r="K178" s="25"/>
      <c r="L178" s="1"/>
      <c r="AA178" s="2">
        <f>(D23*AD42/100*D24/100)^2*(D16^2+(E134/100*I107/365)^2)</f>
        <v>3959585018.6219697</v>
      </c>
    </row>
    <row r="179" spans="1:27" ht="15.75" x14ac:dyDescent="0.25">
      <c r="A179" s="116"/>
      <c r="B179" s="50"/>
      <c r="C179" s="62">
        <f ca="1">AA206</f>
        <v>-305.21349782649918</v>
      </c>
      <c r="D179" s="61"/>
      <c r="E179" s="59" t="s">
        <v>57</v>
      </c>
      <c r="F179" s="61"/>
      <c r="G179" s="50"/>
      <c r="H179" s="42"/>
      <c r="I179" s="25"/>
      <c r="J179" s="1"/>
      <c r="K179" s="25"/>
      <c r="L179" s="1"/>
      <c r="AA179" s="2" t="e">
        <f ca="1">IF(E29=0,NA(),100*(K135/(D29*J35*J37)+K136/(E29*J37))/E31)</f>
        <v>#REF!</v>
      </c>
    </row>
    <row r="180" spans="1:27" ht="15.75" x14ac:dyDescent="0.25">
      <c r="A180" s="91"/>
      <c r="B180" s="43"/>
      <c r="C180" s="62"/>
      <c r="D180" s="61"/>
      <c r="E180" s="61"/>
      <c r="F180" s="61"/>
      <c r="G180" s="44"/>
      <c r="H180" s="42"/>
      <c r="I180" s="25"/>
      <c r="J180" s="1"/>
      <c r="K180" s="25"/>
      <c r="L180" s="1"/>
      <c r="AA180" s="2" t="e">
        <f>IF(G29=0,NA(),F164+(H146/(G29*(1-G35/100)*G31))*100)</f>
        <v>#N/A</v>
      </c>
    </row>
    <row r="181" spans="1:27" ht="15.75" x14ac:dyDescent="0.25">
      <c r="A181" s="91"/>
      <c r="B181" s="37" t="s">
        <v>252</v>
      </c>
      <c r="C181" s="36"/>
      <c r="D181" s="36"/>
      <c r="E181" s="36"/>
      <c r="F181" s="36"/>
      <c r="G181" s="36"/>
      <c r="H181" s="115" t="s">
        <v>58</v>
      </c>
      <c r="I181" s="25"/>
      <c r="J181" s="1"/>
      <c r="K181" s="25"/>
      <c r="L181" s="1"/>
      <c r="AA181" s="2">
        <f>IF(D32&gt;0,(I134/D32*AD43/100*D32)^2,0)+IF(F32&gt;0,(#VALUE!/F32*AD43/100*F32)^2,0)+IF(E32&gt;0,(I135/E32*AD43/100*E32)^2,0)</f>
        <v>14161572693.290039</v>
      </c>
    </row>
    <row r="182" spans="1:27" ht="15.75" x14ac:dyDescent="0.25">
      <c r="A182" s="91"/>
      <c r="B182" s="37" t="s">
        <v>144</v>
      </c>
      <c r="C182" s="36"/>
      <c r="D182" s="36"/>
      <c r="E182" s="36"/>
      <c r="F182" s="58">
        <v>100</v>
      </c>
      <c r="G182" s="256" t="s">
        <v>239</v>
      </c>
      <c r="H182" s="115" t="s">
        <v>59</v>
      </c>
      <c r="I182" s="25"/>
      <c r="J182" s="1"/>
      <c r="K182" s="25"/>
      <c r="L182" s="1"/>
      <c r="AA182" s="2">
        <f>(E134/100*D23*D24/100/365*AD44/100)^2*((D16*D38)^2+(F29*F38)^2+(E29*E38)^2)</f>
        <v>189817.04139525528</v>
      </c>
    </row>
    <row r="183" spans="1:27" ht="15.75" x14ac:dyDescent="0.25">
      <c r="A183" s="91"/>
      <c r="B183" s="37" t="s">
        <v>145</v>
      </c>
      <c r="C183" s="36"/>
      <c r="D183" s="36"/>
      <c r="E183" s="43"/>
      <c r="F183" s="62">
        <f ca="1">AA207</f>
        <v>-77.203744140171807</v>
      </c>
      <c r="G183" s="37" t="s">
        <v>147</v>
      </c>
      <c r="H183" s="115" t="s">
        <v>60</v>
      </c>
      <c r="I183" s="25"/>
      <c r="J183" s="1"/>
      <c r="K183" s="25"/>
      <c r="L183" s="1"/>
      <c r="AA183" s="2">
        <f>SQRT(SUM(I136:I142))</f>
        <v>138440.36422400718</v>
      </c>
    </row>
    <row r="184" spans="1:27" ht="15.75" x14ac:dyDescent="0.25">
      <c r="A184" s="91"/>
      <c r="B184" s="37" t="s">
        <v>256</v>
      </c>
      <c r="C184" s="36"/>
      <c r="D184" s="36"/>
      <c r="E184" s="36"/>
      <c r="F184" s="62">
        <f ca="1">AA208</f>
        <v>35.849520210428118</v>
      </c>
      <c r="G184" s="37" t="s">
        <v>61</v>
      </c>
      <c r="H184" s="115" t="s">
        <v>62</v>
      </c>
      <c r="I184" s="25"/>
      <c r="J184" s="1"/>
      <c r="K184" s="25"/>
      <c r="L184" s="1"/>
      <c r="AA184" s="2">
        <f ca="1">F157/AA50</f>
        <v>-98.617877369134618</v>
      </c>
    </row>
    <row r="185" spans="1:27" ht="15.75" x14ac:dyDescent="0.25">
      <c r="A185" s="244"/>
      <c r="B185" s="50"/>
      <c r="C185" s="49"/>
      <c r="D185" s="36"/>
      <c r="E185" s="43"/>
      <c r="F185" s="50"/>
      <c r="G185" s="44"/>
      <c r="H185" s="115" t="s">
        <v>63</v>
      </c>
      <c r="I185" s="25"/>
      <c r="J185" s="1"/>
      <c r="K185" s="25"/>
      <c r="L185" s="1"/>
      <c r="AA185" s="2">
        <f>I143/D16</f>
        <v>212.9851757292418</v>
      </c>
    </row>
    <row r="186" spans="1:27" ht="15.75" hidden="1" x14ac:dyDescent="0.25">
      <c r="A186" s="91"/>
      <c r="B186" s="37"/>
      <c r="C186" s="49"/>
      <c r="D186" s="117"/>
      <c r="E186" s="43"/>
      <c r="F186" s="36"/>
      <c r="G186" s="44"/>
      <c r="H186" s="42"/>
      <c r="I186" s="25"/>
      <c r="J186" s="1"/>
      <c r="K186" s="25"/>
      <c r="L186" s="1"/>
      <c r="AA186" s="2">
        <f ca="1">D23*(D24-F182)/100*(1+IF(O129&gt;0,0,E134/100*I107/365/D16))</f>
        <v>21.414133228962818</v>
      </c>
    </row>
    <row r="187" spans="1:27" ht="15.75" hidden="1" x14ac:dyDescent="0.25">
      <c r="A187" s="118"/>
      <c r="B187" s="119"/>
      <c r="C187" s="120"/>
      <c r="D187" s="120"/>
      <c r="E187" s="120"/>
      <c r="F187" s="120"/>
      <c r="G187" s="120"/>
      <c r="H187" s="121"/>
      <c r="I187" s="25"/>
      <c r="J187" s="1"/>
      <c r="K187" s="25"/>
      <c r="L187" s="1"/>
      <c r="AA187" s="2">
        <f ca="1">IF(E157&gt;0,1-I150,I150)</f>
        <v>0.32167253715164135</v>
      </c>
    </row>
    <row r="188" spans="1:27" ht="15.75" hidden="1" x14ac:dyDescent="0.25">
      <c r="A188" s="122"/>
      <c r="B188" s="119"/>
      <c r="C188" s="120"/>
      <c r="D188" s="120"/>
      <c r="E188" s="120"/>
      <c r="F188" s="120"/>
      <c r="G188" s="120"/>
      <c r="H188" s="121"/>
      <c r="I188" s="25"/>
      <c r="J188" s="1"/>
      <c r="K188" s="25"/>
      <c r="L188" s="1"/>
      <c r="AA188" s="2">
        <f ca="1">IF(K143-D169&gt;0,1-J150,J150)</f>
        <v>0.32167253715164135</v>
      </c>
    </row>
    <row r="189" spans="1:27" ht="15" hidden="1" x14ac:dyDescent="0.2">
      <c r="A189" s="123"/>
      <c r="B189" s="119"/>
      <c r="C189" s="120"/>
      <c r="D189" s="120"/>
      <c r="E189" s="120"/>
      <c r="F189" s="120"/>
      <c r="G189" s="120"/>
      <c r="H189" s="121"/>
      <c r="I189" s="25"/>
      <c r="J189" s="1"/>
      <c r="K189" s="25"/>
      <c r="L189" s="1"/>
      <c r="AA189" s="2">
        <f>I144/E151</f>
        <v>0.22372392408533803</v>
      </c>
    </row>
    <row r="190" spans="1:27" ht="15.75" hidden="1" x14ac:dyDescent="0.25">
      <c r="A190" s="124"/>
      <c r="B190" s="68"/>
      <c r="C190" s="68"/>
      <c r="D190" s="68"/>
      <c r="E190" s="68"/>
      <c r="F190" s="68"/>
      <c r="G190" s="68"/>
      <c r="H190" s="125"/>
      <c r="I190" s="25"/>
      <c r="J190" s="1"/>
      <c r="K190" s="25"/>
      <c r="L190" s="1"/>
      <c r="AA190" s="2">
        <f ca="1">ABS(K143/I144)</f>
        <v>0.46302695495813739</v>
      </c>
    </row>
    <row r="191" spans="1:27" ht="15.75" x14ac:dyDescent="0.25">
      <c r="A191" s="218" t="s">
        <v>257</v>
      </c>
      <c r="B191" s="216"/>
      <c r="C191" s="216"/>
      <c r="D191" s="216"/>
      <c r="E191" s="216"/>
      <c r="F191" s="216"/>
      <c r="G191" s="216"/>
      <c r="H191" s="217"/>
      <c r="I191" s="25"/>
      <c r="J191" s="1"/>
      <c r="K191" s="25"/>
      <c r="L191" s="1"/>
      <c r="AA191" s="2">
        <f ca="1">ABS((K143-D169)/I144)</f>
        <v>0.46302695495813739</v>
      </c>
    </row>
    <row r="192" spans="1:27" ht="15.75" x14ac:dyDescent="0.25">
      <c r="A192" s="218"/>
      <c r="B192" s="219"/>
      <c r="C192" s="219"/>
      <c r="D192" s="299"/>
      <c r="E192" s="219"/>
      <c r="F192" s="219"/>
      <c r="G192" s="219"/>
      <c r="H192" s="220"/>
      <c r="I192" s="25"/>
      <c r="J192" s="1"/>
      <c r="K192" s="25"/>
      <c r="L192" s="1"/>
      <c r="AA192" s="2">
        <f ca="1">ABS((K143+K144)/I144)</f>
        <v>0.36248412067099617</v>
      </c>
    </row>
    <row r="193" spans="1:28" ht="15.75" x14ac:dyDescent="0.25">
      <c r="A193" s="221"/>
      <c r="B193" s="219"/>
      <c r="C193" s="219"/>
      <c r="D193" s="219"/>
      <c r="E193" s="219"/>
      <c r="F193" s="219"/>
      <c r="G193" s="219"/>
      <c r="H193" s="220"/>
      <c r="I193" s="25"/>
      <c r="J193" s="1"/>
      <c r="K193" s="25"/>
      <c r="L193" s="1"/>
      <c r="AA193" s="2">
        <f ca="1">1/(1+(0.2316419*I147))</f>
        <v>0.90313315021295526</v>
      </c>
    </row>
    <row r="194" spans="1:28" ht="15.75" x14ac:dyDescent="0.25">
      <c r="A194" s="222" t="s">
        <v>207</v>
      </c>
      <c r="B194" s="130"/>
      <c r="C194" s="130"/>
      <c r="D194" s="207" t="s">
        <v>148</v>
      </c>
      <c r="E194" s="130"/>
      <c r="F194" s="130"/>
      <c r="G194" s="130"/>
      <c r="H194" s="223"/>
      <c r="I194" s="25"/>
      <c r="J194" s="1"/>
      <c r="K194" s="25"/>
      <c r="L194" s="1"/>
      <c r="AA194" s="2">
        <f ca="1">1/(1+(0.2316419*J147))</f>
        <v>0.90313315021295526</v>
      </c>
    </row>
    <row r="195" spans="1:28" ht="15.75" x14ac:dyDescent="0.25">
      <c r="A195" s="127"/>
      <c r="B195" s="128"/>
      <c r="C195" s="129"/>
      <c r="D195" s="246" t="s">
        <v>208</v>
      </c>
      <c r="E195" s="130"/>
      <c r="F195" s="130"/>
      <c r="G195" s="131"/>
      <c r="H195" s="132"/>
      <c r="I195" s="25"/>
      <c r="J195" s="1"/>
      <c r="K195" s="25"/>
      <c r="L195" s="1"/>
      <c r="AA195" s="2">
        <f ca="1">1/(1+(0.2316419*K147))</f>
        <v>0.92253772637441489</v>
      </c>
    </row>
    <row r="196" spans="1:28" ht="15.75" x14ac:dyDescent="0.25">
      <c r="A196" s="133"/>
      <c r="B196" s="128"/>
      <c r="C196" s="130"/>
      <c r="D196" s="207" t="s">
        <v>66</v>
      </c>
      <c r="E196" s="130"/>
      <c r="F196" s="129"/>
      <c r="G196" s="131"/>
      <c r="H196" s="132"/>
      <c r="I196" s="25"/>
      <c r="J196" s="1"/>
      <c r="K196" s="25"/>
      <c r="L196" s="1"/>
      <c r="AA196" s="2">
        <f ca="1">0.398942281*EXP(I147^2/-2)</f>
        <v>0.35838927886383154</v>
      </c>
    </row>
    <row r="197" spans="1:28" ht="15.75" x14ac:dyDescent="0.25">
      <c r="A197" s="206"/>
      <c r="B197" s="134"/>
      <c r="C197" s="135"/>
      <c r="D197" s="245" t="s">
        <v>253</v>
      </c>
      <c r="E197" s="135"/>
      <c r="F197" s="136"/>
      <c r="G197" s="137"/>
      <c r="H197" s="138"/>
      <c r="I197" s="25"/>
      <c r="J197" s="1"/>
      <c r="K197" s="25"/>
      <c r="L197" s="1"/>
      <c r="AA197" s="2">
        <f ca="1">0.398942281*EXP(J147^2/-2)</f>
        <v>0.35838927886383154</v>
      </c>
    </row>
    <row r="198" spans="1:28" ht="12.75" x14ac:dyDescent="0.2">
      <c r="A198" s="15"/>
      <c r="B198" s="16"/>
      <c r="C198" s="14"/>
      <c r="D198" s="14"/>
      <c r="E198" s="14"/>
      <c r="F198" s="17"/>
      <c r="G198" s="18"/>
      <c r="H198" s="18"/>
      <c r="I198" s="25"/>
      <c r="J198" s="1"/>
      <c r="K198" s="25"/>
      <c r="L198" s="1"/>
      <c r="AA198" s="2">
        <f ca="1">0.398942281*EXP(K147^2/-2)</f>
        <v>0.37357522070110738</v>
      </c>
    </row>
    <row r="199" spans="1:28" ht="12.75" x14ac:dyDescent="0.2">
      <c r="A199" s="17"/>
      <c r="B199" s="14"/>
      <c r="C199" s="14"/>
      <c r="D199" s="15"/>
      <c r="E199" s="14"/>
      <c r="F199" s="17"/>
      <c r="G199" s="14"/>
      <c r="H199" s="15"/>
      <c r="I199" s="25"/>
      <c r="J199" s="1"/>
      <c r="K199" s="25"/>
      <c r="L199" s="1"/>
      <c r="AA199" s="2">
        <f ca="1">I149*(0.31938153*I148-0.356563782*I148^2+1.781477937*I148^3-1.821255978*I148^4+1.330274429*I148^5)</f>
        <v>0.32167253715164135</v>
      </c>
      <c r="AB199" s="8"/>
    </row>
    <row r="200" spans="1:28" ht="12.75" x14ac:dyDescent="0.2">
      <c r="A200" s="14"/>
      <c r="B200" s="14"/>
      <c r="C200" s="14"/>
      <c r="D200" s="14"/>
      <c r="E200" s="14"/>
      <c r="F200" s="14"/>
      <c r="G200" s="14"/>
      <c r="H200" s="14"/>
      <c r="I200" s="25"/>
      <c r="J200" s="1"/>
      <c r="K200" s="25"/>
      <c r="L200" s="1"/>
      <c r="AA200" s="2">
        <f ca="1">J149*(0.31938153*J148-0.356563782*J148^2+1.781477937*J148^3-1.821255978*J148^4+1.330274429*J148^5)</f>
        <v>0.32167253715164135</v>
      </c>
    </row>
    <row r="201" spans="1:28" ht="12.75" x14ac:dyDescent="0.2">
      <c r="A201" s="17"/>
      <c r="B201" s="14"/>
      <c r="C201" s="14"/>
      <c r="D201" s="14"/>
      <c r="E201" s="14"/>
      <c r="F201" s="14"/>
      <c r="G201" s="14"/>
      <c r="H201" s="14"/>
      <c r="I201" s="25"/>
      <c r="J201" s="1"/>
      <c r="K201" s="25"/>
      <c r="L201" s="1"/>
      <c r="AA201" s="2">
        <f ca="1">K149*(0.31938153*K148-0.356563782*K148^2+1.781477937*K148^3-1.821255978*K148^4+1.330274429*K148^5)</f>
        <v>0.35849520210428115</v>
      </c>
    </row>
    <row r="202" spans="1:28" ht="12.75" x14ac:dyDescent="0.2">
      <c r="A202" s="17"/>
      <c r="B202" s="14"/>
      <c r="C202" s="17"/>
      <c r="D202" s="14"/>
      <c r="E202" s="14"/>
      <c r="F202" s="14"/>
      <c r="G202" s="14"/>
      <c r="H202" s="14"/>
      <c r="I202" s="25"/>
      <c r="J202" s="1"/>
      <c r="K202" s="25"/>
      <c r="L202" s="1"/>
      <c r="AA202" s="2">
        <f ca="1">K143+0.97*I144</f>
        <v>107.97774308822991</v>
      </c>
      <c r="AB202" s="29"/>
    </row>
    <row r="203" spans="1:28" ht="12.75" x14ac:dyDescent="0.2">
      <c r="A203" s="17"/>
      <c r="B203" s="14"/>
      <c r="C203" s="14"/>
      <c r="D203" s="19"/>
      <c r="E203" s="14"/>
      <c r="F203" s="17"/>
      <c r="G203" s="14"/>
      <c r="H203" s="17"/>
      <c r="I203" s="25"/>
      <c r="J203" s="1"/>
      <c r="K203" s="25"/>
      <c r="L203" s="1"/>
      <c r="AA203" s="2">
        <f ca="1">K143+0.43*I144</f>
        <v>-7.0342518055606433</v>
      </c>
    </row>
    <row r="204" spans="1:28" ht="12.75" x14ac:dyDescent="0.2">
      <c r="A204" s="17"/>
      <c r="B204" s="14"/>
      <c r="C204" s="14"/>
      <c r="D204" s="17"/>
      <c r="E204" s="14"/>
      <c r="F204" s="17"/>
      <c r="G204" s="14"/>
      <c r="H204" s="15"/>
      <c r="I204" s="25"/>
      <c r="J204" s="1"/>
      <c r="K204" s="25"/>
      <c r="L204" s="1"/>
      <c r="AA204" s="8">
        <f ca="1">K143</f>
        <v>-98.617877369134618</v>
      </c>
    </row>
    <row r="205" spans="1:28" ht="12.75" x14ac:dyDescent="0.2">
      <c r="A205" s="17"/>
      <c r="B205" s="14"/>
      <c r="C205" s="14"/>
      <c r="D205" s="17"/>
      <c r="E205" s="14"/>
      <c r="F205" s="17"/>
      <c r="G205" s="14"/>
      <c r="H205" s="14"/>
      <c r="I205" s="25"/>
      <c r="J205" s="1"/>
      <c r="K205" s="25"/>
      <c r="L205" s="1"/>
      <c r="AA205" s="2">
        <f ca="1">K143-0.43*I144</f>
        <v>-190.20150293270859</v>
      </c>
    </row>
    <row r="206" spans="1:28" ht="12.75" x14ac:dyDescent="0.2">
      <c r="A206" s="17"/>
      <c r="B206" s="14"/>
      <c r="C206" s="14"/>
      <c r="D206" s="15"/>
      <c r="E206" s="14"/>
      <c r="F206" s="17"/>
      <c r="G206" s="14"/>
      <c r="H206" s="15"/>
      <c r="I206" s="25"/>
      <c r="J206" s="1"/>
      <c r="K206" s="25"/>
      <c r="L206" s="1"/>
      <c r="AA206" s="2">
        <f ca="1">K143-0.97*I144</f>
        <v>-305.21349782649918</v>
      </c>
    </row>
    <row r="207" spans="1:28" ht="12.75" x14ac:dyDescent="0.2">
      <c r="A207" s="14"/>
      <c r="B207" s="14"/>
      <c r="C207" s="14"/>
      <c r="D207" s="14"/>
      <c r="E207" s="14"/>
      <c r="F207" s="17"/>
      <c r="G207" s="14"/>
      <c r="H207" s="17"/>
      <c r="I207" s="25"/>
      <c r="J207" s="1"/>
      <c r="K207" s="25"/>
      <c r="L207" s="1"/>
      <c r="AA207" s="29">
        <f ca="1">K143+K144</f>
        <v>-77.203744140171807</v>
      </c>
    </row>
    <row r="208" spans="1:28" ht="12.75" x14ac:dyDescent="0.2">
      <c r="A208" s="17"/>
      <c r="B208" s="14"/>
      <c r="C208" s="14"/>
      <c r="D208" s="14"/>
      <c r="E208" s="14"/>
      <c r="F208" s="14"/>
      <c r="G208" s="14"/>
      <c r="H208" s="14"/>
      <c r="I208" s="25"/>
      <c r="J208" s="1"/>
      <c r="K208" s="25"/>
      <c r="L208" s="1"/>
      <c r="AA208" s="2">
        <f ca="1">IF(K143+K144&lt;0,K150,1-K150)*100</f>
        <v>35.849520210428118</v>
      </c>
    </row>
    <row r="209" spans="1:12" ht="12.75" x14ac:dyDescent="0.2">
      <c r="A209" s="17"/>
      <c r="B209" s="14"/>
      <c r="C209" s="14"/>
      <c r="D209" s="14"/>
      <c r="E209" s="14"/>
      <c r="F209" s="14"/>
      <c r="G209" s="14"/>
      <c r="H209" s="14"/>
      <c r="I209" s="25"/>
      <c r="J209" s="1"/>
      <c r="K209" s="25"/>
      <c r="L209" s="1"/>
    </row>
    <row r="210" spans="1:12" ht="12.75" x14ac:dyDescent="0.2">
      <c r="A210" s="17"/>
      <c r="B210" s="14"/>
      <c r="C210" s="14"/>
      <c r="D210" s="14"/>
      <c r="E210" s="14"/>
      <c r="F210" s="14"/>
      <c r="G210" s="14"/>
      <c r="H210" s="17"/>
      <c r="I210" s="25"/>
      <c r="J210" s="1"/>
      <c r="K210" s="25"/>
      <c r="L210" s="1"/>
    </row>
    <row r="211" spans="1:12" ht="12.75" x14ac:dyDescent="0.2">
      <c r="A211" s="14"/>
      <c r="B211" s="14"/>
      <c r="C211" s="14"/>
      <c r="D211" s="17"/>
      <c r="E211" s="14"/>
      <c r="F211" s="14"/>
      <c r="G211" s="14"/>
      <c r="H211" s="18"/>
      <c r="I211" s="25"/>
      <c r="J211" s="1"/>
      <c r="K211" s="25"/>
      <c r="L211" s="1"/>
    </row>
    <row r="212" spans="1:12" ht="12.75" x14ac:dyDescent="0.2">
      <c r="A212" s="14"/>
      <c r="B212" s="14"/>
      <c r="C212" s="14"/>
      <c r="D212" s="14"/>
      <c r="E212" s="14"/>
      <c r="F212" s="14"/>
      <c r="G212" s="14"/>
      <c r="H212" s="14"/>
      <c r="I212" s="25"/>
      <c r="J212" s="1"/>
      <c r="K212" s="25"/>
      <c r="L212" s="1"/>
    </row>
    <row r="213" spans="1:12" ht="12.75" x14ac:dyDescent="0.2">
      <c r="A213" s="14"/>
      <c r="B213" s="14"/>
      <c r="C213" s="14"/>
      <c r="D213" s="14"/>
      <c r="E213" s="14"/>
      <c r="F213" s="14"/>
      <c r="G213" s="14"/>
      <c r="H213" s="14"/>
      <c r="I213" s="25"/>
      <c r="J213" s="1"/>
      <c r="K213" s="25"/>
      <c r="L213" s="1"/>
    </row>
    <row r="214" spans="1:12" ht="12.75" x14ac:dyDescent="0.2">
      <c r="A214" s="14"/>
      <c r="B214" s="14"/>
      <c r="C214" s="14"/>
      <c r="D214" s="14"/>
      <c r="E214" s="14"/>
      <c r="F214" s="14"/>
      <c r="G214" s="14"/>
      <c r="H214" s="14"/>
      <c r="I214" s="25"/>
      <c r="J214" s="1"/>
      <c r="K214" s="25"/>
      <c r="L214" s="1"/>
    </row>
    <row r="215" spans="1:12" ht="12.75" x14ac:dyDescent="0.2">
      <c r="A215" s="14"/>
      <c r="B215" s="14"/>
      <c r="C215" s="14"/>
      <c r="D215" s="14"/>
      <c r="E215" s="14"/>
      <c r="F215" s="14"/>
      <c r="G215" s="14"/>
      <c r="H215" s="14"/>
      <c r="I215" s="25"/>
      <c r="J215" s="1"/>
      <c r="K215" s="25"/>
      <c r="L215" s="1"/>
    </row>
    <row r="216" spans="1:12" ht="12.75" x14ac:dyDescent="0.2">
      <c r="A216" s="14"/>
      <c r="B216" s="14"/>
      <c r="C216" s="14"/>
      <c r="D216" s="14"/>
      <c r="E216" s="14"/>
      <c r="F216" s="14"/>
      <c r="G216" s="14"/>
      <c r="H216" s="14"/>
      <c r="I216" s="28"/>
      <c r="J216" s="20"/>
      <c r="K216" s="28"/>
    </row>
    <row r="217" spans="1:12" ht="12.75" x14ac:dyDescent="0.2">
      <c r="A217" s="14"/>
      <c r="B217" s="14"/>
      <c r="C217" s="14"/>
      <c r="D217" s="14"/>
      <c r="E217" s="14"/>
      <c r="F217" s="14"/>
      <c r="G217" s="14"/>
      <c r="H217" s="14"/>
      <c r="I217" s="28"/>
      <c r="J217" s="20"/>
      <c r="K217" s="28"/>
    </row>
    <row r="218" spans="1:12" ht="12.75" x14ac:dyDescent="0.2">
      <c r="A218" s="14"/>
      <c r="B218" s="14"/>
      <c r="C218" s="14"/>
      <c r="D218" s="14"/>
      <c r="E218" s="14"/>
      <c r="F218" s="14"/>
      <c r="G218" s="14"/>
      <c r="H218" s="14"/>
      <c r="I218" s="28"/>
      <c r="J218" s="20"/>
      <c r="K218" s="28"/>
    </row>
    <row r="219" spans="1:12" ht="12.75" x14ac:dyDescent="0.2">
      <c r="A219" s="14"/>
      <c r="B219" s="14"/>
      <c r="C219" s="14"/>
      <c r="D219" s="14"/>
      <c r="E219" s="14"/>
      <c r="F219" s="14"/>
      <c r="G219" s="14"/>
      <c r="H219" s="14"/>
      <c r="I219" s="28"/>
      <c r="J219" s="20"/>
      <c r="K219" s="28"/>
    </row>
    <row r="220" spans="1:12" ht="12.75" x14ac:dyDescent="0.2">
      <c r="A220" s="14"/>
      <c r="B220" s="14"/>
      <c r="C220" s="14"/>
      <c r="D220" s="14"/>
      <c r="E220" s="14"/>
      <c r="F220" s="14"/>
      <c r="G220" s="14"/>
      <c r="H220" s="14"/>
      <c r="I220" s="28"/>
      <c r="J220" s="20"/>
      <c r="K220" s="28"/>
    </row>
    <row r="221" spans="1:12" ht="12.75" x14ac:dyDescent="0.2">
      <c r="A221" s="14"/>
      <c r="B221" s="14"/>
      <c r="C221" s="14"/>
      <c r="D221" s="14"/>
      <c r="E221" s="14"/>
      <c r="F221" s="14"/>
      <c r="G221" s="14"/>
      <c r="H221" s="14"/>
      <c r="I221" s="28"/>
      <c r="J221" s="20"/>
      <c r="K221" s="28"/>
    </row>
    <row r="222" spans="1:12" ht="12.75" x14ac:dyDescent="0.2">
      <c r="A222" s="14"/>
      <c r="B222" s="14"/>
      <c r="C222" s="14"/>
      <c r="D222" s="14"/>
      <c r="E222" s="14"/>
      <c r="F222" s="14"/>
      <c r="G222" s="14"/>
      <c r="H222" s="14"/>
      <c r="I222" s="28"/>
      <c r="J222" s="20"/>
      <c r="K222" s="28"/>
    </row>
    <row r="223" spans="1:12" ht="12.75" x14ac:dyDescent="0.2">
      <c r="A223" s="14"/>
      <c r="B223" s="14"/>
      <c r="C223" s="14"/>
      <c r="D223" s="14"/>
      <c r="E223" s="14"/>
      <c r="F223" s="14"/>
      <c r="G223" s="14"/>
      <c r="H223" s="14"/>
      <c r="I223" s="28"/>
      <c r="J223" s="20"/>
      <c r="K223" s="28"/>
    </row>
    <row r="224" spans="1:12" ht="12.75" x14ac:dyDescent="0.2">
      <c r="A224" s="14"/>
      <c r="B224" s="14"/>
      <c r="C224" s="14"/>
      <c r="D224" s="14"/>
      <c r="E224" s="14"/>
      <c r="F224" s="14"/>
      <c r="G224" s="14"/>
      <c r="H224" s="14"/>
      <c r="I224" s="28"/>
      <c r="J224" s="20"/>
      <c r="K224" s="28"/>
    </row>
    <row r="225" spans="1:11" ht="12.75" x14ac:dyDescent="0.2">
      <c r="A225" s="14"/>
      <c r="B225" s="14"/>
      <c r="C225" s="14"/>
      <c r="D225" s="14"/>
      <c r="E225" s="14"/>
      <c r="F225" s="14"/>
      <c r="G225" s="14"/>
      <c r="H225" s="14"/>
      <c r="I225" s="28"/>
      <c r="J225" s="20"/>
      <c r="K225" s="28"/>
    </row>
    <row r="226" spans="1:11" ht="12.75" x14ac:dyDescent="0.2">
      <c r="A226" s="14"/>
      <c r="B226" s="14"/>
      <c r="C226" s="14"/>
      <c r="D226" s="14"/>
      <c r="E226" s="14"/>
      <c r="F226" s="14"/>
      <c r="G226" s="14"/>
      <c r="H226" s="14"/>
      <c r="I226" s="28"/>
      <c r="J226" s="20"/>
      <c r="K226" s="28"/>
    </row>
    <row r="227" spans="1:11" ht="12.75" x14ac:dyDescent="0.2">
      <c r="A227" s="14"/>
      <c r="B227" s="14"/>
      <c r="C227" s="14"/>
      <c r="D227" s="14"/>
      <c r="E227" s="14"/>
      <c r="F227" s="14"/>
      <c r="G227" s="14"/>
      <c r="H227" s="14"/>
      <c r="I227" s="28"/>
      <c r="J227" s="20"/>
      <c r="K227" s="28"/>
    </row>
    <row r="228" spans="1:11" ht="12.75" x14ac:dyDescent="0.2">
      <c r="A228" s="14"/>
      <c r="B228" s="14"/>
      <c r="C228" s="14"/>
      <c r="D228" s="14"/>
      <c r="E228" s="14"/>
      <c r="F228" s="14"/>
      <c r="G228" s="14"/>
      <c r="H228" s="14"/>
      <c r="I228" s="28"/>
      <c r="J228" s="20"/>
      <c r="K228" s="28"/>
    </row>
    <row r="229" spans="1:11" ht="12.75" x14ac:dyDescent="0.2">
      <c r="A229" s="14"/>
      <c r="B229" s="14"/>
      <c r="C229" s="14"/>
      <c r="D229" s="14"/>
      <c r="E229" s="14"/>
      <c r="F229" s="14"/>
      <c r="G229" s="14"/>
      <c r="H229" s="14"/>
      <c r="I229" s="28"/>
      <c r="J229" s="20"/>
      <c r="K229" s="28"/>
    </row>
    <row r="230" spans="1:11" ht="12.75" x14ac:dyDescent="0.2">
      <c r="A230" s="14"/>
      <c r="B230" s="14"/>
      <c r="C230" s="14"/>
      <c r="D230" s="14"/>
      <c r="E230" s="14"/>
      <c r="F230" s="14"/>
      <c r="G230" s="14"/>
      <c r="H230" s="14"/>
      <c r="I230" s="28"/>
      <c r="J230" s="20"/>
      <c r="K230" s="28"/>
    </row>
    <row r="231" spans="1:11" ht="12.75" x14ac:dyDescent="0.2">
      <c r="A231" s="14"/>
      <c r="B231" s="14"/>
      <c r="C231" s="14"/>
      <c r="D231" s="14"/>
      <c r="E231" s="14"/>
      <c r="F231" s="14"/>
      <c r="G231" s="14"/>
      <c r="H231" s="14"/>
      <c r="I231" s="28"/>
      <c r="J231" s="20"/>
      <c r="K231" s="28"/>
    </row>
    <row r="232" spans="1:11" ht="12.75" x14ac:dyDescent="0.2">
      <c r="A232" s="14"/>
      <c r="B232" s="14"/>
      <c r="C232" s="14"/>
      <c r="D232" s="14"/>
      <c r="E232" s="14"/>
      <c r="F232" s="14"/>
      <c r="G232" s="14"/>
      <c r="H232" s="14"/>
      <c r="I232" s="28"/>
      <c r="J232" s="20"/>
      <c r="K232" s="28"/>
    </row>
    <row r="233" spans="1:11" ht="12.75" x14ac:dyDescent="0.2">
      <c r="A233" s="14"/>
      <c r="B233" s="14"/>
      <c r="C233" s="14"/>
      <c r="D233" s="14"/>
      <c r="E233" s="14"/>
      <c r="F233" s="14"/>
      <c r="G233" s="14"/>
      <c r="H233" s="14"/>
      <c r="I233" s="28"/>
      <c r="J233" s="20"/>
      <c r="K233" s="28"/>
    </row>
    <row r="234" spans="1:11" ht="12.75" x14ac:dyDescent="0.2">
      <c r="A234" s="14"/>
      <c r="B234" s="14"/>
      <c r="C234" s="14"/>
      <c r="D234" s="14"/>
      <c r="E234" s="14"/>
      <c r="F234" s="14"/>
      <c r="G234" s="14"/>
      <c r="H234" s="14"/>
      <c r="I234" s="28"/>
      <c r="J234" s="20"/>
      <c r="K234" s="28"/>
    </row>
    <row r="235" spans="1:11" ht="12.75" x14ac:dyDescent="0.2">
      <c r="A235" s="14"/>
      <c r="B235" s="14"/>
      <c r="C235" s="14"/>
      <c r="D235" s="14"/>
      <c r="E235" s="14"/>
      <c r="F235" s="14"/>
      <c r="G235" s="14"/>
      <c r="H235" s="14"/>
      <c r="I235" s="28"/>
      <c r="J235" s="20"/>
      <c r="K235" s="28"/>
    </row>
    <row r="236" spans="1:11" ht="12.75" x14ac:dyDescent="0.2">
      <c r="A236" s="14"/>
      <c r="B236" s="14"/>
      <c r="C236" s="14"/>
      <c r="D236" s="14"/>
      <c r="E236" s="14"/>
      <c r="F236" s="14"/>
      <c r="G236" s="14"/>
      <c r="H236" s="14"/>
      <c r="I236" s="28"/>
      <c r="J236" s="20"/>
      <c r="K236" s="28"/>
    </row>
    <row r="237" spans="1:11" ht="12.75" x14ac:dyDescent="0.2">
      <c r="A237" s="14"/>
      <c r="B237" s="14"/>
      <c r="C237" s="14"/>
      <c r="D237" s="14"/>
      <c r="E237" s="14"/>
      <c r="F237" s="14"/>
      <c r="G237" s="14"/>
      <c r="H237" s="14"/>
      <c r="I237" s="28"/>
      <c r="J237" s="20"/>
      <c r="K237" s="28"/>
    </row>
    <row r="238" spans="1:11" ht="12.75" x14ac:dyDescent="0.2">
      <c r="A238" s="14"/>
      <c r="B238" s="14"/>
      <c r="C238" s="14"/>
      <c r="D238" s="14"/>
      <c r="E238" s="14"/>
      <c r="F238" s="14"/>
      <c r="G238" s="14"/>
      <c r="H238" s="14"/>
      <c r="I238" s="28"/>
      <c r="J238" s="20"/>
      <c r="K238" s="28"/>
    </row>
    <row r="239" spans="1:11" ht="12.75" x14ac:dyDescent="0.2">
      <c r="A239" s="14"/>
      <c r="B239" s="14"/>
      <c r="C239" s="14"/>
      <c r="D239" s="14"/>
      <c r="E239" s="14"/>
      <c r="F239" s="14"/>
      <c r="G239" s="14"/>
      <c r="H239" s="14"/>
      <c r="I239" s="28"/>
      <c r="J239" s="20"/>
      <c r="K239" s="28"/>
    </row>
    <row r="240" spans="1:11" ht="12.75" x14ac:dyDescent="0.2">
      <c r="A240" s="14"/>
      <c r="B240" s="14"/>
      <c r="C240" s="14"/>
      <c r="D240" s="14"/>
      <c r="E240" s="14"/>
      <c r="F240" s="14"/>
      <c r="G240" s="14"/>
      <c r="H240" s="14"/>
      <c r="I240" s="28"/>
      <c r="J240" s="20"/>
      <c r="K240" s="28"/>
    </row>
    <row r="241" spans="1:11" ht="12.75" x14ac:dyDescent="0.2">
      <c r="A241" s="14"/>
      <c r="B241" s="14"/>
      <c r="C241" s="14"/>
      <c r="D241" s="14"/>
      <c r="E241" s="14"/>
      <c r="F241" s="14"/>
      <c r="G241" s="14"/>
      <c r="H241" s="14"/>
      <c r="I241" s="28"/>
      <c r="J241" s="20"/>
      <c r="K241" s="28"/>
    </row>
    <row r="242" spans="1:11" ht="12.75" x14ac:dyDescent="0.2">
      <c r="A242" s="14"/>
      <c r="B242" s="14"/>
      <c r="C242" s="14"/>
      <c r="D242" s="14"/>
      <c r="E242" s="14"/>
      <c r="F242" s="14"/>
      <c r="G242" s="14"/>
      <c r="H242" s="14"/>
      <c r="I242" s="28"/>
      <c r="J242" s="20"/>
      <c r="K242" s="28"/>
    </row>
    <row r="243" spans="1:11" ht="12.75" x14ac:dyDescent="0.2">
      <c r="A243" s="14"/>
      <c r="B243" s="14"/>
      <c r="C243" s="14"/>
      <c r="D243" s="14"/>
      <c r="E243" s="14"/>
      <c r="F243" s="14"/>
      <c r="G243" s="14"/>
      <c r="H243" s="14"/>
      <c r="I243" s="28"/>
      <c r="J243" s="20"/>
      <c r="K243" s="28"/>
    </row>
    <row r="244" spans="1:11" ht="12.75" x14ac:dyDescent="0.2">
      <c r="A244" s="14"/>
      <c r="B244" s="14"/>
      <c r="C244" s="14"/>
      <c r="D244" s="14"/>
      <c r="E244" s="14"/>
      <c r="F244" s="14"/>
      <c r="G244" s="14"/>
      <c r="H244" s="14"/>
      <c r="I244" s="28"/>
      <c r="J244" s="20"/>
      <c r="K244" s="28"/>
    </row>
    <row r="245" spans="1:11" ht="12.75" x14ac:dyDescent="0.2">
      <c r="A245" s="20"/>
      <c r="B245" s="20"/>
      <c r="C245" s="20"/>
      <c r="D245" s="20"/>
      <c r="E245" s="20"/>
      <c r="F245" s="20"/>
      <c r="G245" s="20"/>
      <c r="H245" s="20"/>
      <c r="I245" s="28"/>
      <c r="J245" s="20"/>
      <c r="K245" s="28"/>
    </row>
    <row r="246" spans="1:11" ht="12.75" x14ac:dyDescent="0.2">
      <c r="A246" s="20"/>
      <c r="B246" s="20"/>
      <c r="C246" s="20"/>
      <c r="D246" s="20"/>
      <c r="E246" s="20"/>
      <c r="F246" s="20"/>
      <c r="G246" s="20"/>
      <c r="H246" s="20"/>
      <c r="I246" s="28"/>
      <c r="J246" s="20"/>
      <c r="K246" s="28"/>
    </row>
    <row r="247" spans="1:11" ht="12.75" x14ac:dyDescent="0.2">
      <c r="A247" s="20"/>
      <c r="B247" s="20"/>
      <c r="C247" s="20"/>
      <c r="D247" s="20"/>
      <c r="E247" s="20"/>
      <c r="F247" s="20"/>
      <c r="G247" s="20"/>
      <c r="H247" s="20"/>
      <c r="I247" s="28"/>
      <c r="J247" s="20"/>
      <c r="K247" s="28"/>
    </row>
    <row r="248" spans="1:11" ht="12.75" x14ac:dyDescent="0.2">
      <c r="A248" s="20"/>
      <c r="B248" s="20"/>
      <c r="C248" s="20"/>
      <c r="D248" s="20"/>
      <c r="E248" s="20"/>
      <c r="F248" s="20"/>
      <c r="G248" s="20"/>
      <c r="H248" s="20"/>
      <c r="I248" s="28"/>
      <c r="J248" s="20"/>
      <c r="K248" s="28"/>
    </row>
    <row r="249" spans="1:11" ht="12.75" x14ac:dyDescent="0.2">
      <c r="A249" s="20"/>
      <c r="B249" s="20"/>
      <c r="C249" s="20"/>
      <c r="D249" s="20"/>
      <c r="E249" s="20"/>
      <c r="F249" s="20"/>
      <c r="G249" s="20"/>
      <c r="H249" s="20"/>
      <c r="I249" s="28"/>
      <c r="J249" s="20"/>
      <c r="K249" s="28"/>
    </row>
    <row r="250" spans="1:11" ht="12.75" x14ac:dyDescent="0.2">
      <c r="A250" s="20"/>
      <c r="B250" s="20"/>
      <c r="C250" s="20"/>
      <c r="D250" s="20"/>
      <c r="E250" s="20"/>
      <c r="F250" s="20"/>
      <c r="G250" s="20"/>
      <c r="H250" s="20"/>
      <c r="I250" s="28"/>
      <c r="J250" s="20"/>
      <c r="K250" s="28"/>
    </row>
    <row r="251" spans="1:11" ht="12.75" x14ac:dyDescent="0.2">
      <c r="A251" s="20"/>
      <c r="B251" s="20"/>
      <c r="C251" s="20"/>
      <c r="D251" s="20"/>
      <c r="E251" s="20"/>
      <c r="F251" s="20"/>
      <c r="G251" s="20"/>
      <c r="H251" s="20"/>
      <c r="I251" s="28"/>
      <c r="J251" s="20"/>
      <c r="K251" s="28"/>
    </row>
    <row r="252" spans="1:11" ht="12.75" x14ac:dyDescent="0.2">
      <c r="A252" s="20"/>
      <c r="B252" s="20"/>
      <c r="C252" s="20"/>
      <c r="D252" s="20"/>
      <c r="E252" s="20"/>
      <c r="F252" s="20"/>
      <c r="G252" s="20"/>
      <c r="H252" s="20"/>
      <c r="I252" s="28"/>
      <c r="J252" s="20"/>
      <c r="K252" s="28"/>
    </row>
    <row r="253" spans="1:11" ht="12.75" x14ac:dyDescent="0.2">
      <c r="A253" s="20"/>
      <c r="B253" s="20"/>
      <c r="C253" s="20"/>
      <c r="D253" s="20"/>
      <c r="E253" s="20"/>
      <c r="F253" s="20"/>
      <c r="G253" s="20"/>
      <c r="H253" s="20"/>
      <c r="I253" s="28"/>
      <c r="J253" s="20"/>
      <c r="K253" s="28"/>
    </row>
    <row r="254" spans="1:11" ht="12.75" x14ac:dyDescent="0.2">
      <c r="A254" s="20"/>
      <c r="B254" s="20"/>
      <c r="C254" s="20"/>
      <c r="D254" s="20"/>
      <c r="E254" s="20"/>
      <c r="F254" s="20"/>
      <c r="G254" s="20"/>
      <c r="H254" s="20"/>
      <c r="I254" s="28"/>
      <c r="J254" s="20"/>
      <c r="K254" s="28"/>
    </row>
    <row r="255" spans="1:11" ht="12.75" x14ac:dyDescent="0.2">
      <c r="A255" s="20"/>
      <c r="B255" s="20"/>
      <c r="C255" s="20"/>
      <c r="D255" s="20"/>
      <c r="E255" s="20"/>
      <c r="F255" s="20"/>
      <c r="G255" s="20"/>
      <c r="H255" s="20"/>
      <c r="I255" s="28"/>
      <c r="J255" s="20"/>
      <c r="K255" s="28"/>
    </row>
    <row r="256" spans="1:11" ht="12.75" x14ac:dyDescent="0.2">
      <c r="A256" s="20"/>
      <c r="B256" s="20"/>
      <c r="C256" s="20"/>
      <c r="D256" s="20"/>
      <c r="E256" s="20"/>
      <c r="F256" s="20"/>
      <c r="G256" s="20"/>
      <c r="H256" s="20"/>
      <c r="I256" s="28"/>
      <c r="J256" s="20"/>
      <c r="K256" s="28"/>
    </row>
    <row r="257" spans="1:11" ht="12.75" x14ac:dyDescent="0.2">
      <c r="A257" s="20"/>
      <c r="B257" s="20"/>
      <c r="C257" s="20"/>
      <c r="D257" s="20"/>
      <c r="E257" s="20"/>
      <c r="F257" s="20"/>
      <c r="G257" s="20"/>
      <c r="H257" s="20"/>
      <c r="I257" s="28"/>
      <c r="J257" s="20"/>
      <c r="K257" s="28"/>
    </row>
    <row r="258" spans="1:11" ht="12.75" x14ac:dyDescent="0.2">
      <c r="A258" s="20"/>
      <c r="B258" s="20"/>
      <c r="C258" s="20"/>
      <c r="D258" s="20"/>
      <c r="E258" s="20"/>
      <c r="F258" s="20"/>
      <c r="G258" s="20"/>
      <c r="H258" s="20"/>
      <c r="I258" s="28"/>
      <c r="J258" s="20"/>
      <c r="K258" s="28"/>
    </row>
    <row r="259" spans="1:11" ht="12.75" x14ac:dyDescent="0.2">
      <c r="A259" s="20"/>
      <c r="B259" s="20"/>
      <c r="C259" s="20"/>
      <c r="D259" s="20"/>
      <c r="E259" s="20"/>
      <c r="F259" s="20"/>
      <c r="G259" s="20"/>
      <c r="H259" s="20"/>
      <c r="I259" s="28"/>
      <c r="J259" s="20"/>
      <c r="K259" s="28"/>
    </row>
    <row r="260" spans="1:11" ht="12.75" x14ac:dyDescent="0.2">
      <c r="A260" s="20"/>
      <c r="B260" s="20"/>
      <c r="C260" s="20"/>
      <c r="D260" s="20"/>
      <c r="E260" s="20"/>
      <c r="F260" s="20"/>
      <c r="G260" s="20"/>
      <c r="H260" s="20"/>
      <c r="I260" s="28"/>
      <c r="J260" s="20"/>
      <c r="K260" s="28"/>
    </row>
    <row r="261" spans="1:11" ht="12.75" x14ac:dyDescent="0.2">
      <c r="A261" s="20"/>
      <c r="B261" s="20"/>
      <c r="C261" s="20"/>
      <c r="D261" s="20"/>
      <c r="E261" s="20"/>
      <c r="F261" s="20"/>
      <c r="G261" s="20"/>
      <c r="H261" s="20"/>
      <c r="I261" s="28"/>
      <c r="J261" s="20"/>
      <c r="K261" s="28"/>
    </row>
    <row r="262" spans="1:11" ht="12.75" x14ac:dyDescent="0.2">
      <c r="A262" s="20"/>
      <c r="B262" s="20"/>
      <c r="C262" s="20"/>
      <c r="D262" s="20"/>
      <c r="E262" s="20"/>
      <c r="F262" s="20"/>
      <c r="G262" s="20"/>
      <c r="H262" s="20"/>
      <c r="I262" s="28"/>
      <c r="J262" s="20"/>
      <c r="K262" s="28"/>
    </row>
    <row r="263" spans="1:11" ht="12.75" x14ac:dyDescent="0.2">
      <c r="A263" s="20"/>
      <c r="B263" s="20"/>
      <c r="C263" s="20"/>
      <c r="D263" s="20"/>
      <c r="E263" s="20"/>
      <c r="F263" s="20"/>
      <c r="G263" s="20"/>
      <c r="H263" s="20"/>
      <c r="I263" s="28"/>
      <c r="J263" s="20"/>
      <c r="K263" s="28"/>
    </row>
    <row r="264" spans="1:11" ht="12.75" x14ac:dyDescent="0.2">
      <c r="A264" s="20"/>
      <c r="B264" s="20"/>
      <c r="C264" s="20"/>
      <c r="D264" s="20"/>
      <c r="E264" s="20"/>
      <c r="F264" s="20"/>
      <c r="G264" s="20"/>
      <c r="H264" s="20"/>
      <c r="I264" s="28"/>
      <c r="J264" s="20"/>
      <c r="K264" s="28"/>
    </row>
    <row r="265" spans="1:11" ht="12.75" x14ac:dyDescent="0.2">
      <c r="A265" s="20"/>
      <c r="B265" s="20"/>
      <c r="C265" s="20"/>
      <c r="D265" s="20"/>
      <c r="E265" s="20"/>
      <c r="F265" s="20"/>
      <c r="G265" s="20"/>
      <c r="H265" s="20"/>
      <c r="I265" s="28"/>
      <c r="J265" s="20"/>
      <c r="K265" s="28"/>
    </row>
    <row r="266" spans="1:11" ht="12.75" x14ac:dyDescent="0.2">
      <c r="A266" s="20"/>
      <c r="B266" s="20"/>
      <c r="C266" s="20"/>
      <c r="D266" s="20"/>
      <c r="E266" s="20"/>
      <c r="F266" s="20"/>
      <c r="G266" s="20"/>
      <c r="H266" s="20"/>
      <c r="I266" s="28"/>
      <c r="J266" s="20"/>
      <c r="K266" s="28"/>
    </row>
    <row r="267" spans="1:11" ht="12.75" x14ac:dyDescent="0.2">
      <c r="A267" s="20"/>
      <c r="B267" s="20"/>
      <c r="C267" s="20"/>
      <c r="D267" s="20"/>
      <c r="E267" s="20"/>
      <c r="F267" s="20"/>
      <c r="G267" s="20"/>
      <c r="H267" s="20"/>
      <c r="I267" s="28"/>
      <c r="J267" s="20"/>
      <c r="K267" s="28"/>
    </row>
    <row r="268" spans="1:11" ht="12.75" x14ac:dyDescent="0.2">
      <c r="A268" s="20"/>
      <c r="B268" s="20"/>
      <c r="C268" s="20"/>
      <c r="D268" s="20"/>
      <c r="E268" s="20"/>
      <c r="F268" s="20"/>
      <c r="G268" s="20"/>
      <c r="H268" s="20"/>
      <c r="I268" s="28"/>
      <c r="J268" s="20"/>
      <c r="K268" s="28"/>
    </row>
    <row r="269" spans="1:11" ht="12.75" x14ac:dyDescent="0.2">
      <c r="A269" s="20"/>
      <c r="B269" s="20"/>
      <c r="C269" s="20"/>
      <c r="D269" s="20"/>
      <c r="E269" s="20"/>
      <c r="F269" s="20"/>
      <c r="G269" s="20"/>
      <c r="H269" s="20"/>
      <c r="I269" s="28"/>
      <c r="J269" s="20"/>
      <c r="K269" s="28"/>
    </row>
    <row r="270" spans="1:11" ht="12.75" x14ac:dyDescent="0.2">
      <c r="A270" s="20"/>
      <c r="B270" s="20"/>
      <c r="C270" s="20"/>
      <c r="D270" s="20"/>
      <c r="E270" s="20"/>
      <c r="F270" s="20"/>
      <c r="G270" s="20"/>
      <c r="H270" s="20"/>
      <c r="I270" s="28"/>
      <c r="J270" s="20"/>
      <c r="K270" s="28"/>
    </row>
    <row r="271" spans="1:11" ht="12.75" x14ac:dyDescent="0.2">
      <c r="A271" s="20"/>
      <c r="B271" s="20"/>
      <c r="C271" s="20"/>
      <c r="D271" s="20"/>
      <c r="E271" s="20"/>
      <c r="F271" s="20"/>
      <c r="G271" s="20"/>
      <c r="H271" s="20"/>
      <c r="I271" s="28"/>
      <c r="J271" s="20"/>
      <c r="K271" s="28"/>
    </row>
    <row r="272" spans="1:11" ht="12.75" x14ac:dyDescent="0.2">
      <c r="A272" s="20"/>
      <c r="B272" s="20"/>
      <c r="C272" s="20"/>
      <c r="D272" s="20"/>
      <c r="E272" s="20"/>
      <c r="F272" s="20"/>
      <c r="G272" s="20"/>
      <c r="H272" s="20"/>
      <c r="I272" s="28"/>
      <c r="J272" s="20"/>
      <c r="K272" s="28"/>
    </row>
    <row r="273" spans="1:11" ht="12.75" x14ac:dyDescent="0.2">
      <c r="A273" s="20"/>
      <c r="B273" s="20"/>
      <c r="C273" s="20"/>
      <c r="D273" s="20"/>
      <c r="E273" s="20"/>
      <c r="F273" s="20"/>
      <c r="G273" s="20"/>
      <c r="H273" s="20"/>
      <c r="I273" s="28"/>
      <c r="J273" s="20"/>
      <c r="K273" s="28"/>
    </row>
    <row r="274" spans="1:11" ht="12.75" x14ac:dyDescent="0.2">
      <c r="A274" s="20"/>
      <c r="B274" s="20"/>
      <c r="C274" s="20"/>
      <c r="D274" s="20"/>
      <c r="E274" s="20"/>
      <c r="F274" s="20"/>
      <c r="G274" s="20"/>
      <c r="H274" s="20"/>
      <c r="I274" s="28"/>
      <c r="J274" s="20"/>
      <c r="K274" s="28"/>
    </row>
    <row r="275" spans="1:11" ht="12.75" x14ac:dyDescent="0.2">
      <c r="A275" s="20"/>
      <c r="B275" s="20"/>
      <c r="C275" s="20"/>
      <c r="D275" s="20"/>
      <c r="E275" s="20"/>
      <c r="F275" s="20"/>
      <c r="G275" s="20"/>
      <c r="H275" s="20"/>
      <c r="I275" s="28"/>
      <c r="J275" s="20"/>
      <c r="K275" s="28"/>
    </row>
    <row r="276" spans="1:11" ht="12.75" x14ac:dyDescent="0.2">
      <c r="A276" s="20"/>
      <c r="B276" s="20"/>
      <c r="C276" s="20"/>
      <c r="D276" s="20"/>
      <c r="E276" s="20"/>
      <c r="F276" s="20"/>
      <c r="G276" s="20"/>
      <c r="H276" s="20"/>
      <c r="I276" s="28"/>
      <c r="J276" s="20"/>
      <c r="K276" s="28"/>
    </row>
    <row r="277" spans="1:11" ht="12.75" x14ac:dyDescent="0.2">
      <c r="A277" s="20"/>
      <c r="B277" s="20"/>
      <c r="C277" s="20"/>
      <c r="D277" s="20"/>
      <c r="E277" s="20"/>
      <c r="F277" s="20"/>
      <c r="G277" s="20"/>
      <c r="H277" s="20"/>
      <c r="I277" s="28"/>
      <c r="J277" s="20"/>
      <c r="K277" s="28"/>
    </row>
    <row r="278" spans="1:11" ht="12.75" x14ac:dyDescent="0.2">
      <c r="A278" s="20"/>
      <c r="B278" s="20"/>
      <c r="C278" s="20"/>
      <c r="D278" s="20"/>
      <c r="E278" s="20"/>
      <c r="F278" s="20"/>
      <c r="G278" s="20"/>
      <c r="H278" s="20"/>
      <c r="I278" s="28"/>
      <c r="J278" s="20"/>
      <c r="K278" s="28"/>
    </row>
    <row r="279" spans="1:11" ht="12.75" x14ac:dyDescent="0.2">
      <c r="A279" s="20"/>
      <c r="B279" s="20"/>
      <c r="C279" s="20"/>
      <c r="D279" s="20"/>
      <c r="E279" s="20"/>
      <c r="F279" s="20"/>
      <c r="G279" s="20"/>
      <c r="H279" s="20"/>
      <c r="I279" s="28"/>
      <c r="J279" s="20"/>
      <c r="K279" s="28"/>
    </row>
    <row r="280" spans="1:11" ht="12.75" x14ac:dyDescent="0.2">
      <c r="A280" s="20"/>
      <c r="B280" s="20"/>
      <c r="C280" s="20"/>
      <c r="D280" s="20"/>
      <c r="E280" s="20"/>
      <c r="F280" s="20"/>
      <c r="G280" s="20"/>
      <c r="H280" s="20"/>
      <c r="I280" s="28"/>
      <c r="J280" s="20"/>
      <c r="K280" s="28"/>
    </row>
    <row r="281" spans="1:11" ht="12.75" x14ac:dyDescent="0.2">
      <c r="A281" s="20"/>
      <c r="B281" s="20"/>
      <c r="C281" s="20"/>
      <c r="D281" s="20"/>
      <c r="E281" s="20"/>
      <c r="F281" s="20"/>
      <c r="G281" s="20"/>
      <c r="H281" s="20"/>
      <c r="I281" s="28"/>
      <c r="J281" s="20"/>
      <c r="K281" s="28"/>
    </row>
    <row r="282" spans="1:11" ht="12.75" x14ac:dyDescent="0.2">
      <c r="A282" s="20"/>
      <c r="B282" s="20"/>
      <c r="C282" s="20"/>
      <c r="D282" s="20"/>
      <c r="E282" s="20"/>
      <c r="F282" s="20"/>
      <c r="G282" s="20"/>
      <c r="H282" s="20"/>
      <c r="I282" s="28"/>
      <c r="J282" s="20"/>
      <c r="K282" s="28"/>
    </row>
    <row r="283" spans="1:11" ht="12.75" x14ac:dyDescent="0.2">
      <c r="A283" s="20"/>
      <c r="B283" s="20"/>
      <c r="C283" s="20"/>
      <c r="D283" s="20"/>
      <c r="E283" s="20"/>
      <c r="F283" s="20"/>
      <c r="G283" s="20"/>
      <c r="H283" s="20"/>
      <c r="I283" s="28"/>
      <c r="J283" s="20"/>
      <c r="K283" s="28"/>
    </row>
    <row r="284" spans="1:11" ht="12.75" x14ac:dyDescent="0.2">
      <c r="A284" s="20"/>
      <c r="B284" s="20"/>
      <c r="C284" s="20"/>
      <c r="D284" s="20"/>
      <c r="E284" s="20"/>
      <c r="F284" s="20"/>
      <c r="G284" s="20"/>
      <c r="H284" s="20"/>
      <c r="I284" s="28"/>
      <c r="J284" s="20"/>
      <c r="K284" s="28"/>
    </row>
    <row r="285" spans="1:11" ht="12.75" x14ac:dyDescent="0.2">
      <c r="A285" s="20"/>
      <c r="B285" s="20"/>
      <c r="C285" s="20"/>
      <c r="D285" s="20"/>
      <c r="E285" s="20"/>
      <c r="F285" s="20"/>
      <c r="G285" s="20"/>
      <c r="H285" s="20"/>
      <c r="I285" s="28"/>
      <c r="J285" s="20"/>
      <c r="K285" s="28"/>
    </row>
    <row r="286" spans="1:11" ht="12.75" x14ac:dyDescent="0.2">
      <c r="A286" s="20"/>
      <c r="B286" s="20"/>
      <c r="C286" s="20"/>
      <c r="D286" s="20"/>
      <c r="E286" s="20"/>
      <c r="F286" s="20"/>
      <c r="G286" s="20"/>
      <c r="H286" s="20"/>
      <c r="I286" s="28"/>
      <c r="J286" s="20"/>
      <c r="K286" s="28"/>
    </row>
    <row r="287" spans="1:11" ht="12.75" x14ac:dyDescent="0.2">
      <c r="A287" s="20"/>
      <c r="B287" s="20"/>
      <c r="C287" s="20"/>
      <c r="D287" s="20"/>
      <c r="E287" s="20"/>
      <c r="F287" s="20"/>
      <c r="G287" s="20"/>
      <c r="H287" s="20"/>
      <c r="I287" s="28"/>
      <c r="J287" s="20"/>
      <c r="K287" s="28"/>
    </row>
    <row r="288" spans="1:11" ht="12.75" x14ac:dyDescent="0.2">
      <c r="A288" s="20"/>
      <c r="B288" s="20"/>
      <c r="C288" s="20"/>
      <c r="D288" s="20"/>
      <c r="E288" s="20"/>
      <c r="F288" s="20"/>
      <c r="G288" s="20"/>
      <c r="H288" s="20"/>
      <c r="I288" s="28"/>
      <c r="J288" s="20"/>
      <c r="K288" s="28"/>
    </row>
    <row r="289" spans="1:11" ht="12.75" x14ac:dyDescent="0.2">
      <c r="A289" s="20"/>
      <c r="B289" s="20"/>
      <c r="C289" s="20"/>
      <c r="D289" s="20"/>
      <c r="E289" s="20"/>
      <c r="F289" s="20"/>
      <c r="G289" s="20"/>
      <c r="H289" s="20"/>
      <c r="I289" s="28"/>
      <c r="J289" s="20"/>
      <c r="K289" s="28"/>
    </row>
    <row r="290" spans="1:11" ht="12.75" x14ac:dyDescent="0.2">
      <c r="A290" s="20"/>
      <c r="B290" s="20"/>
      <c r="C290" s="20"/>
      <c r="D290" s="20"/>
      <c r="E290" s="20"/>
      <c r="F290" s="20"/>
      <c r="G290" s="20"/>
      <c r="H290" s="20"/>
      <c r="I290" s="28"/>
      <c r="J290" s="20"/>
      <c r="K290" s="28"/>
    </row>
    <row r="291" spans="1:11" ht="12.75" x14ac:dyDescent="0.2">
      <c r="A291" s="20"/>
      <c r="B291" s="20"/>
      <c r="C291" s="20"/>
      <c r="D291" s="20"/>
      <c r="E291" s="20"/>
      <c r="F291" s="20"/>
      <c r="G291" s="20"/>
      <c r="H291" s="20"/>
      <c r="I291" s="28"/>
      <c r="J291" s="20"/>
      <c r="K291" s="28"/>
    </row>
    <row r="292" spans="1:11" ht="12.75" x14ac:dyDescent="0.2">
      <c r="A292" s="20"/>
      <c r="B292" s="20"/>
      <c r="C292" s="20"/>
      <c r="D292" s="20"/>
      <c r="E292" s="20"/>
      <c r="F292" s="20"/>
      <c r="G292" s="20"/>
      <c r="H292" s="20"/>
      <c r="I292" s="28"/>
      <c r="J292" s="20"/>
      <c r="K292" s="28"/>
    </row>
    <row r="293" spans="1:11" ht="12.75" x14ac:dyDescent="0.2">
      <c r="A293" s="20"/>
      <c r="B293" s="20"/>
      <c r="C293" s="20"/>
      <c r="D293" s="20"/>
      <c r="E293" s="20"/>
      <c r="F293" s="20"/>
      <c r="G293" s="20"/>
      <c r="H293" s="20"/>
      <c r="I293" s="28"/>
      <c r="J293" s="20"/>
      <c r="K293" s="28"/>
    </row>
    <row r="294" spans="1:11" ht="12.75" x14ac:dyDescent="0.2">
      <c r="A294" s="20"/>
      <c r="B294" s="20"/>
      <c r="C294" s="20"/>
      <c r="D294" s="20"/>
      <c r="E294" s="20"/>
      <c r="F294" s="20"/>
      <c r="G294" s="20"/>
      <c r="H294" s="20"/>
      <c r="I294" s="28"/>
      <c r="J294" s="20"/>
      <c r="K294" s="28"/>
    </row>
    <row r="295" spans="1:11" ht="12.75" x14ac:dyDescent="0.2">
      <c r="A295" s="20"/>
      <c r="B295" s="20"/>
      <c r="C295" s="20"/>
      <c r="D295" s="20"/>
      <c r="E295" s="20"/>
      <c r="F295" s="20"/>
      <c r="G295" s="20"/>
      <c r="H295" s="20"/>
      <c r="I295" s="28"/>
      <c r="J295" s="20"/>
      <c r="K295" s="28"/>
    </row>
    <row r="296" spans="1:11" ht="12.75" x14ac:dyDescent="0.2">
      <c r="A296" s="20"/>
      <c r="B296" s="20"/>
      <c r="C296" s="20"/>
      <c r="D296" s="20"/>
      <c r="E296" s="20"/>
      <c r="F296" s="20"/>
      <c r="G296" s="20"/>
      <c r="H296" s="20"/>
      <c r="I296" s="28"/>
      <c r="J296" s="20"/>
      <c r="K296" s="28"/>
    </row>
    <row r="297" spans="1:11" ht="12.75" x14ac:dyDescent="0.2">
      <c r="A297" s="20"/>
      <c r="B297" s="20"/>
      <c r="C297" s="20"/>
      <c r="D297" s="20"/>
      <c r="E297" s="20"/>
      <c r="F297" s="20"/>
      <c r="G297" s="20"/>
      <c r="H297" s="20"/>
      <c r="I297" s="28"/>
      <c r="J297" s="20"/>
      <c r="K297" s="28"/>
    </row>
    <row r="298" spans="1:11" ht="12.75" x14ac:dyDescent="0.2">
      <c r="A298" s="20"/>
      <c r="B298" s="20"/>
      <c r="C298" s="20"/>
      <c r="D298" s="20"/>
      <c r="E298" s="20"/>
      <c r="F298" s="20"/>
      <c r="G298" s="20"/>
      <c r="H298" s="20"/>
      <c r="I298" s="28"/>
      <c r="J298" s="20"/>
      <c r="K298" s="28"/>
    </row>
    <row r="299" spans="1:11" ht="12.75" x14ac:dyDescent="0.2">
      <c r="A299" s="20"/>
      <c r="B299" s="20"/>
      <c r="C299" s="20"/>
      <c r="D299" s="20"/>
      <c r="E299" s="20"/>
      <c r="F299" s="20"/>
      <c r="G299" s="20"/>
      <c r="H299" s="20"/>
      <c r="I299" s="28"/>
      <c r="J299" s="20"/>
      <c r="K299" s="28"/>
    </row>
    <row r="300" spans="1:11" ht="12.75" x14ac:dyDescent="0.2">
      <c r="A300" s="20"/>
      <c r="B300" s="20"/>
      <c r="C300" s="20"/>
      <c r="D300" s="20"/>
      <c r="E300" s="20"/>
      <c r="F300" s="20"/>
      <c r="G300" s="20"/>
      <c r="H300" s="20"/>
      <c r="I300" s="28"/>
      <c r="J300" s="20"/>
      <c r="K300" s="28"/>
    </row>
    <row r="301" spans="1:11" ht="12.75" x14ac:dyDescent="0.2">
      <c r="A301" s="20"/>
      <c r="B301" s="20"/>
      <c r="C301" s="20"/>
      <c r="D301" s="20"/>
      <c r="E301" s="20"/>
      <c r="F301" s="20"/>
      <c r="G301" s="20"/>
      <c r="H301" s="20"/>
      <c r="I301" s="28"/>
      <c r="J301" s="20"/>
      <c r="K301" s="28"/>
    </row>
    <row r="302" spans="1:11" ht="12.75" x14ac:dyDescent="0.2">
      <c r="A302" s="20"/>
      <c r="B302" s="20"/>
      <c r="C302" s="20"/>
      <c r="D302" s="20"/>
      <c r="E302" s="20"/>
      <c r="F302" s="20"/>
      <c r="G302" s="20"/>
      <c r="H302" s="20"/>
      <c r="I302" s="28"/>
      <c r="J302" s="20"/>
      <c r="K302" s="28"/>
    </row>
    <row r="303" spans="1:11" ht="12.75" x14ac:dyDescent="0.2">
      <c r="A303" s="20"/>
      <c r="B303" s="20"/>
      <c r="C303" s="20"/>
      <c r="D303" s="20"/>
      <c r="E303" s="20"/>
      <c r="F303" s="20"/>
      <c r="G303" s="20"/>
      <c r="H303" s="20"/>
      <c r="I303" s="28"/>
      <c r="J303" s="20"/>
      <c r="K303" s="28"/>
    </row>
    <row r="304" spans="1:11" ht="12.75" x14ac:dyDescent="0.2">
      <c r="A304" s="20"/>
      <c r="B304" s="20"/>
      <c r="C304" s="20"/>
      <c r="D304" s="20"/>
      <c r="E304" s="20"/>
      <c r="F304" s="20"/>
      <c r="G304" s="20"/>
      <c r="H304" s="20"/>
      <c r="I304" s="28"/>
      <c r="J304" s="20"/>
      <c r="K304" s="28"/>
    </row>
    <row r="305" spans="1:11" ht="12.75" x14ac:dyDescent="0.2">
      <c r="A305" s="20"/>
      <c r="B305" s="20"/>
      <c r="C305" s="20"/>
      <c r="D305" s="20"/>
      <c r="E305" s="20"/>
      <c r="F305" s="20"/>
      <c r="G305" s="20"/>
      <c r="H305" s="20"/>
      <c r="I305" s="28"/>
      <c r="J305" s="20"/>
      <c r="K305" s="28"/>
    </row>
    <row r="306" spans="1:11" ht="12.75" x14ac:dyDescent="0.2">
      <c r="A306" s="20"/>
      <c r="B306" s="20"/>
      <c r="C306" s="20"/>
      <c r="D306" s="20"/>
      <c r="E306" s="20"/>
      <c r="F306" s="20"/>
      <c r="G306" s="20"/>
      <c r="H306" s="20"/>
      <c r="I306" s="28"/>
      <c r="J306" s="20"/>
      <c r="K306" s="28"/>
    </row>
    <row r="307" spans="1:11" ht="12.75" x14ac:dyDescent="0.2">
      <c r="A307" s="20"/>
      <c r="B307" s="20"/>
      <c r="C307" s="20"/>
      <c r="D307" s="20"/>
      <c r="E307" s="20"/>
      <c r="F307" s="20"/>
      <c r="G307" s="20"/>
      <c r="H307" s="20"/>
      <c r="I307" s="28"/>
      <c r="J307" s="20"/>
      <c r="K307" s="28"/>
    </row>
    <row r="308" spans="1:11" ht="12.75" x14ac:dyDescent="0.2">
      <c r="A308" s="20"/>
      <c r="B308" s="20"/>
      <c r="C308" s="20"/>
      <c r="D308" s="20"/>
      <c r="E308" s="20"/>
      <c r="F308" s="20"/>
      <c r="G308" s="20"/>
      <c r="H308" s="20"/>
      <c r="I308" s="28"/>
      <c r="J308" s="20"/>
      <c r="K308" s="28"/>
    </row>
    <row r="309" spans="1:11" ht="12.75" x14ac:dyDescent="0.2">
      <c r="A309" s="20"/>
      <c r="B309" s="20"/>
      <c r="C309" s="20"/>
      <c r="D309" s="20"/>
      <c r="E309" s="20"/>
      <c r="F309" s="20"/>
      <c r="G309" s="20"/>
      <c r="H309" s="20"/>
      <c r="I309" s="28"/>
      <c r="J309" s="20"/>
      <c r="K309" s="28"/>
    </row>
    <row r="310" spans="1:11" ht="12.75" x14ac:dyDescent="0.2">
      <c r="A310" s="20"/>
      <c r="B310" s="20"/>
      <c r="C310" s="20"/>
      <c r="D310" s="20"/>
      <c r="E310" s="20"/>
      <c r="F310" s="20"/>
      <c r="G310" s="20"/>
      <c r="H310" s="20"/>
      <c r="I310" s="28"/>
      <c r="J310" s="20"/>
      <c r="K310" s="28"/>
    </row>
    <row r="311" spans="1:11" ht="12.75" x14ac:dyDescent="0.2">
      <c r="A311" s="20"/>
      <c r="B311" s="20"/>
      <c r="C311" s="20"/>
      <c r="D311" s="20"/>
      <c r="E311" s="20"/>
      <c r="F311" s="20"/>
      <c r="G311" s="20"/>
      <c r="H311" s="20"/>
      <c r="I311" s="28"/>
      <c r="J311" s="20"/>
      <c r="K311" s="28"/>
    </row>
    <row r="312" spans="1:11" ht="12.75" x14ac:dyDescent="0.2">
      <c r="A312" s="20"/>
      <c r="B312" s="20"/>
      <c r="C312" s="20"/>
      <c r="D312" s="20"/>
      <c r="E312" s="20"/>
      <c r="F312" s="20"/>
      <c r="G312" s="20"/>
      <c r="H312" s="20"/>
      <c r="I312" s="28"/>
      <c r="J312" s="20"/>
      <c r="K312" s="28"/>
    </row>
    <row r="313" spans="1:11" ht="12.75" x14ac:dyDescent="0.2">
      <c r="A313" s="20"/>
      <c r="B313" s="20"/>
      <c r="C313" s="20"/>
      <c r="D313" s="20"/>
      <c r="E313" s="20"/>
      <c r="F313" s="20"/>
      <c r="G313" s="20"/>
      <c r="H313" s="20"/>
      <c r="I313" s="28"/>
      <c r="J313" s="20"/>
      <c r="K313" s="28"/>
    </row>
    <row r="314" spans="1:11" ht="12.75" x14ac:dyDescent="0.2">
      <c r="A314" s="20"/>
      <c r="B314" s="20"/>
      <c r="C314" s="20"/>
      <c r="D314" s="20"/>
      <c r="E314" s="20"/>
      <c r="F314" s="20"/>
      <c r="G314" s="20"/>
      <c r="H314" s="20"/>
      <c r="I314" s="28"/>
      <c r="J314" s="20"/>
      <c r="K314" s="28"/>
    </row>
    <row r="315" spans="1:11" ht="12.75" x14ac:dyDescent="0.2">
      <c r="A315" s="20"/>
      <c r="B315" s="20"/>
      <c r="C315" s="20"/>
      <c r="D315" s="20"/>
      <c r="E315" s="20"/>
      <c r="F315" s="20"/>
      <c r="G315" s="20"/>
      <c r="H315" s="20"/>
      <c r="I315" s="28"/>
      <c r="J315" s="20"/>
      <c r="K315" s="28"/>
    </row>
    <row r="316" spans="1:11" ht="12.75" x14ac:dyDescent="0.2">
      <c r="A316" s="20"/>
      <c r="B316" s="20"/>
      <c r="C316" s="20"/>
      <c r="D316" s="20"/>
      <c r="E316" s="20"/>
      <c r="F316" s="20"/>
      <c r="G316" s="20"/>
      <c r="H316" s="20"/>
    </row>
    <row r="317" spans="1:11" ht="12.75" x14ac:dyDescent="0.2">
      <c r="A317" s="20"/>
      <c r="B317" s="20"/>
      <c r="C317" s="20"/>
      <c r="D317" s="20"/>
      <c r="E317" s="20"/>
      <c r="F317" s="20"/>
      <c r="G317" s="20"/>
      <c r="H317" s="20"/>
    </row>
    <row r="318" spans="1:11" ht="12.75" x14ac:dyDescent="0.2">
      <c r="A318" s="20"/>
      <c r="B318" s="20"/>
      <c r="C318" s="20"/>
      <c r="D318" s="20"/>
      <c r="E318" s="20"/>
      <c r="F318" s="20"/>
      <c r="G318" s="20"/>
      <c r="H318" s="20"/>
    </row>
    <row r="319" spans="1:11" ht="12.75" x14ac:dyDescent="0.2">
      <c r="A319" s="20"/>
      <c r="B319" s="20"/>
      <c r="C319" s="20"/>
      <c r="D319" s="20"/>
      <c r="E319" s="20"/>
      <c r="F319" s="20"/>
      <c r="G319" s="20"/>
      <c r="H319" s="20"/>
    </row>
    <row r="320" spans="1:11" ht="12.75" x14ac:dyDescent="0.2">
      <c r="A320" s="20"/>
      <c r="B320" s="20"/>
      <c r="C320" s="20"/>
      <c r="D320" s="20"/>
      <c r="E320" s="20"/>
      <c r="F320" s="20"/>
      <c r="G320" s="20"/>
      <c r="H320" s="20"/>
    </row>
    <row r="321" spans="1:8" ht="12.75" x14ac:dyDescent="0.2">
      <c r="A321" s="20"/>
      <c r="B321" s="20"/>
      <c r="C321" s="20"/>
      <c r="D321" s="20"/>
      <c r="E321" s="20"/>
      <c r="F321" s="20"/>
      <c r="G321" s="20"/>
      <c r="H321" s="20"/>
    </row>
    <row r="322" spans="1:8" ht="12.75" x14ac:dyDescent="0.2">
      <c r="A322" s="20"/>
      <c r="B322" s="20"/>
      <c r="C322" s="20"/>
      <c r="D322" s="20"/>
      <c r="E322" s="20"/>
      <c r="F322" s="20"/>
      <c r="G322" s="20"/>
      <c r="H322" s="20"/>
    </row>
    <row r="323" spans="1:8" ht="12.75" x14ac:dyDescent="0.2">
      <c r="A323" s="20"/>
      <c r="B323" s="20"/>
      <c r="C323" s="20"/>
      <c r="D323" s="20"/>
      <c r="E323" s="20"/>
      <c r="F323" s="20"/>
      <c r="G323" s="20"/>
      <c r="H323" s="20"/>
    </row>
    <row r="324" spans="1:8" ht="12.75" x14ac:dyDescent="0.2">
      <c r="A324" s="20"/>
      <c r="B324" s="20"/>
      <c r="C324" s="20"/>
      <c r="D324" s="20"/>
      <c r="E324" s="20"/>
      <c r="F324" s="20"/>
      <c r="G324" s="20"/>
      <c r="H324" s="20"/>
    </row>
    <row r="325" spans="1:8" ht="12.75" x14ac:dyDescent="0.2">
      <c r="A325" s="20"/>
      <c r="B325" s="20"/>
      <c r="C325" s="20"/>
      <c r="D325" s="20"/>
      <c r="E325" s="20"/>
      <c r="F325" s="20"/>
      <c r="G325" s="20"/>
      <c r="H325" s="20"/>
    </row>
    <row r="326" spans="1:8" ht="12.75" x14ac:dyDescent="0.2">
      <c r="A326" s="20"/>
      <c r="B326" s="20"/>
      <c r="C326" s="20"/>
      <c r="D326" s="20"/>
      <c r="E326" s="20"/>
      <c r="F326" s="20"/>
      <c r="G326" s="20"/>
      <c r="H326" s="20"/>
    </row>
    <row r="327" spans="1:8" ht="12.75" x14ac:dyDescent="0.2">
      <c r="A327" s="20"/>
      <c r="B327" s="20"/>
      <c r="C327" s="20"/>
      <c r="D327" s="20"/>
      <c r="E327" s="20"/>
      <c r="F327" s="20"/>
      <c r="G327" s="20"/>
      <c r="H327" s="20"/>
    </row>
    <row r="328" spans="1:8" ht="12.75" x14ac:dyDescent="0.2">
      <c r="A328" s="20"/>
      <c r="B328" s="20"/>
      <c r="C328" s="20"/>
      <c r="D328" s="20"/>
      <c r="E328" s="20"/>
      <c r="F328" s="20"/>
      <c r="G328" s="20"/>
      <c r="H328" s="20"/>
    </row>
    <row r="329" spans="1:8" ht="12.75" x14ac:dyDescent="0.2">
      <c r="A329" s="20"/>
      <c r="B329" s="20"/>
      <c r="C329" s="20"/>
      <c r="D329" s="20"/>
      <c r="E329" s="20"/>
      <c r="F329" s="20"/>
      <c r="G329" s="20"/>
      <c r="H329" s="20"/>
    </row>
    <row r="330" spans="1:8" ht="12.75" x14ac:dyDescent="0.2">
      <c r="A330" s="20"/>
      <c r="B330" s="20"/>
      <c r="C330" s="20"/>
      <c r="D330" s="20"/>
      <c r="E330" s="20"/>
      <c r="F330" s="20"/>
      <c r="G330" s="20"/>
      <c r="H330" s="20"/>
    </row>
    <row r="331" spans="1:8" ht="12.75" x14ac:dyDescent="0.2">
      <c r="A331" s="20"/>
      <c r="B331" s="20"/>
      <c r="C331" s="20"/>
      <c r="D331" s="20"/>
      <c r="E331" s="20"/>
      <c r="F331" s="20"/>
      <c r="G331" s="20"/>
      <c r="H331" s="20"/>
    </row>
    <row r="332" spans="1:8" ht="12.75" x14ac:dyDescent="0.2">
      <c r="A332" s="20"/>
      <c r="B332" s="20"/>
      <c r="C332" s="20"/>
      <c r="D332" s="20"/>
      <c r="E332" s="20"/>
      <c r="F332" s="20"/>
      <c r="G332" s="20"/>
      <c r="H332" s="20"/>
    </row>
    <row r="333" spans="1:8" ht="12.75" x14ac:dyDescent="0.2">
      <c r="A333" s="20"/>
      <c r="B333" s="20"/>
      <c r="C333" s="20"/>
      <c r="D333" s="20"/>
      <c r="E333" s="20"/>
      <c r="F333" s="20"/>
      <c r="G333" s="20"/>
      <c r="H333" s="20"/>
    </row>
    <row r="334" spans="1:8" ht="12.75" x14ac:dyDescent="0.2">
      <c r="A334" s="20"/>
      <c r="B334" s="20"/>
      <c r="C334" s="20"/>
      <c r="D334" s="20"/>
      <c r="E334" s="20"/>
      <c r="F334" s="20"/>
      <c r="G334" s="20"/>
      <c r="H334" s="20"/>
    </row>
    <row r="335" spans="1:8" ht="12.75" x14ac:dyDescent="0.2">
      <c r="A335" s="20"/>
      <c r="B335" s="20"/>
      <c r="C335" s="20"/>
      <c r="D335" s="20"/>
      <c r="E335" s="20"/>
      <c r="F335" s="20"/>
      <c r="G335" s="20"/>
      <c r="H335" s="20"/>
    </row>
    <row r="336" spans="1:8" ht="12.75" x14ac:dyDescent="0.2">
      <c r="A336" s="20"/>
      <c r="B336" s="20"/>
      <c r="C336" s="20"/>
      <c r="D336" s="20"/>
      <c r="E336" s="20"/>
      <c r="F336" s="20"/>
      <c r="G336" s="20"/>
      <c r="H336" s="20"/>
    </row>
    <row r="337" spans="1:8" ht="12.75" x14ac:dyDescent="0.2">
      <c r="A337" s="20"/>
      <c r="B337" s="20"/>
      <c r="C337" s="20"/>
      <c r="D337" s="20"/>
      <c r="E337" s="20"/>
      <c r="F337" s="20"/>
      <c r="G337" s="20"/>
      <c r="H337" s="20"/>
    </row>
    <row r="338" spans="1:8" ht="12.75" x14ac:dyDescent="0.2">
      <c r="A338" s="20"/>
      <c r="B338" s="20"/>
      <c r="C338" s="20"/>
      <c r="D338" s="20"/>
      <c r="E338" s="20"/>
      <c r="F338" s="20"/>
      <c r="G338" s="20"/>
      <c r="H338" s="20"/>
    </row>
    <row r="339" spans="1:8" ht="12.75" x14ac:dyDescent="0.2">
      <c r="A339" s="20"/>
      <c r="B339" s="20"/>
      <c r="C339" s="20"/>
      <c r="D339" s="20"/>
      <c r="E339" s="20"/>
      <c r="F339" s="20"/>
      <c r="G339" s="20"/>
      <c r="H339" s="20"/>
    </row>
    <row r="340" spans="1:8" ht="12.75" x14ac:dyDescent="0.2">
      <c r="A340" s="20"/>
      <c r="B340" s="20"/>
      <c r="C340" s="20"/>
      <c r="D340" s="20"/>
      <c r="E340" s="20"/>
      <c r="F340" s="20"/>
      <c r="G340" s="20"/>
      <c r="H340" s="20"/>
    </row>
    <row r="341" spans="1:8" ht="12.75" x14ac:dyDescent="0.2">
      <c r="A341" s="20"/>
      <c r="B341" s="20"/>
      <c r="C341" s="20"/>
      <c r="D341" s="20"/>
      <c r="E341" s="20"/>
      <c r="F341" s="20"/>
      <c r="G341" s="20"/>
      <c r="H341" s="20"/>
    </row>
    <row r="342" spans="1:8" ht="12.75" x14ac:dyDescent="0.2">
      <c r="A342" s="20"/>
      <c r="B342" s="20"/>
      <c r="C342" s="20"/>
      <c r="D342" s="20"/>
      <c r="E342" s="20"/>
      <c r="F342" s="20"/>
      <c r="G342" s="20"/>
      <c r="H342" s="20"/>
    </row>
    <row r="343" spans="1:8" ht="12.75" x14ac:dyDescent="0.2">
      <c r="A343" s="20"/>
      <c r="B343" s="20"/>
      <c r="C343" s="20"/>
      <c r="D343" s="20"/>
      <c r="E343" s="20"/>
      <c r="F343" s="20"/>
      <c r="G343" s="20"/>
      <c r="H343" s="20"/>
    </row>
    <row r="344" spans="1:8" ht="12.75" x14ac:dyDescent="0.2">
      <c r="A344" s="20"/>
      <c r="B344" s="20"/>
      <c r="C344" s="20"/>
      <c r="D344" s="20"/>
      <c r="E344" s="20"/>
      <c r="F344" s="20"/>
      <c r="G344" s="20"/>
      <c r="H344" s="20"/>
    </row>
  </sheetData>
  <sheetProtection algorithmName="SHA-512" hashValue="JTy/mwr9PCkHd2dJI94MTlypgoVerN4E1vpyn7GwxiZr5owapEw7/bz0Y0vcy5BI5sENNv4ic61yCtR6o8Qa8Q==" saltValue="TNZZoRiIbvS2CnxT8gXpeg==" spinCount="100000" sheet="1" objects="1" scenarios="1"/>
  <phoneticPr fontId="0" type="noConversion"/>
  <conditionalFormatting sqref="H170">
    <cfRule type="cellIs" dxfId="2" priority="1" stopIfTrue="1" operator="equal">
      <formula>$I$163</formula>
    </cfRule>
    <cfRule type="cellIs" dxfId="1" priority="2" stopIfTrue="1" operator="equal">
      <formula>$I$164</formula>
    </cfRule>
    <cfRule type="cellIs" dxfId="0" priority="3" stopIfTrue="1" operator="equal">
      <formula>$I$165</formula>
    </cfRule>
  </conditionalFormatting>
  <dataValidations xWindow="188" yWindow="1164" count="1">
    <dataValidation type="list" allowBlank="1" showInputMessage="1" showErrorMessage="1" promptTitle="Sélectionnez le poids" prompt="Sélectionnez Poids vif ou Poids en carcasse dans la liste déroulante" sqref="B43" xr:uid="{00000000-0002-0000-0000-000000000000}">
      <formula1>$AD$31:$AD$32</formula1>
    </dataValidation>
  </dataValidations>
  <hyperlinks>
    <hyperlink ref="D197" r:id="rId1" xr:uid="{00000000-0004-0000-0000-000000000000}"/>
  </hyperlinks>
  <pageMargins left="0.75" right="0.75" top="1" bottom="1" header="0.5" footer="0.5"/>
  <pageSetup scale="57" orientation="portrait" blackAndWhite="1" r:id="rId2"/>
  <headerFooter alignWithMargins="0">
    <oddHeader xml:space="preserve">&amp;L                                                                        </oddHeader>
    <oddFooter>&amp;CPage -&amp;P-&amp;R</oddFooter>
  </headerFooter>
  <rowBreaks count="2" manualBreakCount="2">
    <brk id="84" max="49" man="1"/>
    <brk id="137" max="49"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37"/>
  <sheetViews>
    <sheetView topLeftCell="A17" workbookViewId="0">
      <selection activeCell="D38" sqref="D38"/>
    </sheetView>
  </sheetViews>
  <sheetFormatPr defaultColWidth="9.140625" defaultRowHeight="15" x14ac:dyDescent="0.2"/>
  <cols>
    <col min="1" max="1" width="67.5703125" style="143" customWidth="1"/>
    <col min="2" max="2" width="20.42578125" style="143" customWidth="1"/>
    <col min="3" max="3" width="20.5703125" style="143" bestFit="1" customWidth="1"/>
    <col min="4" max="4" width="14.42578125" style="143" customWidth="1"/>
    <col min="5" max="5" width="9.140625" style="143" customWidth="1"/>
  </cols>
  <sheetData>
    <row r="1" spans="1:5" ht="18" x14ac:dyDescent="0.25">
      <c r="A1" s="140" t="s">
        <v>221</v>
      </c>
      <c r="B1" s="141"/>
      <c r="C1" s="141" t="s">
        <v>38</v>
      </c>
      <c r="D1" s="142"/>
    </row>
    <row r="2" spans="1:5" x14ac:dyDescent="0.2">
      <c r="A2" s="144"/>
      <c r="B2" s="145"/>
      <c r="C2" s="145"/>
      <c r="D2" s="142"/>
    </row>
    <row r="3" spans="1:5" ht="15.75" x14ac:dyDescent="0.25">
      <c r="A3" s="146" t="s">
        <v>209</v>
      </c>
      <c r="B3" s="147"/>
      <c r="C3" s="145"/>
      <c r="D3" s="142"/>
    </row>
    <row r="4" spans="1:5" ht="15.75" x14ac:dyDescent="0.25">
      <c r="A4" s="243" t="s">
        <v>214</v>
      </c>
      <c r="B4" s="149"/>
      <c r="C4" s="247">
        <v>75000</v>
      </c>
      <c r="D4" s="142"/>
    </row>
    <row r="5" spans="1:5" ht="15.75" x14ac:dyDescent="0.25">
      <c r="A5" s="243" t="s">
        <v>215</v>
      </c>
      <c r="B5" s="149"/>
      <c r="C5" s="247">
        <v>650000</v>
      </c>
      <c r="D5" s="142"/>
    </row>
    <row r="6" spans="1:5" ht="15.75" x14ac:dyDescent="0.25">
      <c r="A6" s="243" t="s">
        <v>210</v>
      </c>
      <c r="B6" s="149"/>
      <c r="C6" s="247">
        <v>0</v>
      </c>
      <c r="D6" s="142"/>
    </row>
    <row r="7" spans="1:5" ht="15.75" x14ac:dyDescent="0.25">
      <c r="A7" s="243" t="s">
        <v>210</v>
      </c>
      <c r="B7" s="149"/>
      <c r="C7" s="247">
        <v>0</v>
      </c>
      <c r="D7" s="142"/>
    </row>
    <row r="8" spans="1:5" ht="15.75" x14ac:dyDescent="0.25">
      <c r="A8" s="146" t="s">
        <v>211</v>
      </c>
      <c r="B8" s="147"/>
      <c r="C8" s="247"/>
      <c r="D8" s="142"/>
    </row>
    <row r="9" spans="1:5" ht="15.75" x14ac:dyDescent="0.25">
      <c r="A9" s="148" t="s">
        <v>216</v>
      </c>
      <c r="B9" s="149"/>
      <c r="C9" s="247">
        <v>70000</v>
      </c>
      <c r="D9" s="142"/>
    </row>
    <row r="10" spans="1:5" ht="15.75" x14ac:dyDescent="0.25">
      <c r="A10" s="148" t="s">
        <v>212</v>
      </c>
      <c r="B10" s="149"/>
      <c r="C10" s="247">
        <v>15000</v>
      </c>
      <c r="D10" s="142"/>
    </row>
    <row r="11" spans="1:5" ht="15.75" x14ac:dyDescent="0.25">
      <c r="A11" s="148" t="s">
        <v>210</v>
      </c>
      <c r="B11" s="149"/>
      <c r="C11" s="247">
        <v>0</v>
      </c>
      <c r="D11" s="142"/>
    </row>
    <row r="12" spans="1:5" ht="15.75" x14ac:dyDescent="0.25">
      <c r="A12" s="148" t="s">
        <v>210</v>
      </c>
      <c r="B12" s="149"/>
      <c r="C12" s="247">
        <v>0</v>
      </c>
      <c r="D12" s="142"/>
    </row>
    <row r="13" spans="1:5" ht="15.75" x14ac:dyDescent="0.25">
      <c r="A13" s="148"/>
      <c r="B13" s="149"/>
      <c r="C13" s="150"/>
      <c r="D13" s="142"/>
    </row>
    <row r="14" spans="1:5" ht="15.75" x14ac:dyDescent="0.25">
      <c r="A14" s="151"/>
      <c r="B14" s="149"/>
      <c r="C14" s="152" t="s">
        <v>70</v>
      </c>
      <c r="D14" s="153" t="s">
        <v>213</v>
      </c>
    </row>
    <row r="15" spans="1:5" ht="15.75" x14ac:dyDescent="0.25">
      <c r="A15" s="146" t="s">
        <v>222</v>
      </c>
      <c r="B15" s="147"/>
      <c r="C15" s="248">
        <f>SUM(C4:C12)</f>
        <v>810000</v>
      </c>
      <c r="D15" s="249">
        <f>C15/Veal!AA50</f>
        <v>1381.7367663521509</v>
      </c>
      <c r="E15" s="154"/>
    </row>
    <row r="16" spans="1:5" x14ac:dyDescent="0.2">
      <c r="A16" s="144"/>
      <c r="B16" s="145"/>
      <c r="C16" s="145"/>
      <c r="D16" s="142"/>
    </row>
    <row r="17" spans="1:4" ht="15.75" x14ac:dyDescent="0.25">
      <c r="A17" s="155" t="s">
        <v>223</v>
      </c>
      <c r="B17" s="156"/>
      <c r="C17" s="157"/>
      <c r="D17" s="167"/>
    </row>
    <row r="18" spans="1:4" x14ac:dyDescent="0.2">
      <c r="A18" s="144"/>
      <c r="B18" s="145"/>
      <c r="C18" s="145"/>
      <c r="D18" s="142"/>
    </row>
    <row r="19" spans="1:4" ht="18.600000000000001" customHeight="1" x14ac:dyDescent="0.25">
      <c r="A19" s="146" t="s">
        <v>217</v>
      </c>
      <c r="B19" s="158" t="s">
        <v>218</v>
      </c>
      <c r="C19" s="159" t="s">
        <v>219</v>
      </c>
      <c r="D19" s="153" t="s">
        <v>213</v>
      </c>
    </row>
    <row r="20" spans="1:4" ht="15.75" x14ac:dyDescent="0.25">
      <c r="A20" s="144" t="s">
        <v>209</v>
      </c>
      <c r="B20" s="160">
        <v>0.02</v>
      </c>
      <c r="C20" s="250">
        <f>B20*(C4+C5+C6+C7)</f>
        <v>14500</v>
      </c>
      <c r="D20" s="251">
        <f>C20/Veal!AA50</f>
        <v>24.734793965563195</v>
      </c>
    </row>
    <row r="21" spans="1:4" ht="15.75" x14ac:dyDescent="0.25">
      <c r="A21" s="144" t="s">
        <v>211</v>
      </c>
      <c r="B21" s="160">
        <v>0.05</v>
      </c>
      <c r="C21" s="250">
        <f>B21*SUM(C9:C12)</f>
        <v>4250</v>
      </c>
      <c r="D21" s="251">
        <f>C21/Veal!AA50</f>
        <v>7.2498534036995572</v>
      </c>
    </row>
    <row r="22" spans="1:4" ht="15.75" x14ac:dyDescent="0.25">
      <c r="A22" s="144"/>
      <c r="B22" s="161"/>
      <c r="C22" s="147"/>
      <c r="D22" s="162"/>
    </row>
    <row r="23" spans="1:4" ht="15.75" x14ac:dyDescent="0.25">
      <c r="A23" s="146" t="s">
        <v>258</v>
      </c>
      <c r="B23" s="161"/>
      <c r="C23" s="147"/>
      <c r="D23" s="162"/>
    </row>
    <row r="24" spans="1:4" ht="15.75" x14ac:dyDescent="0.25">
      <c r="A24" s="146" t="s">
        <v>228</v>
      </c>
      <c r="B24" s="159" t="s">
        <v>220</v>
      </c>
      <c r="C24" s="147"/>
      <c r="D24" s="162"/>
    </row>
    <row r="25" spans="1:4" ht="15.75" x14ac:dyDescent="0.25">
      <c r="A25" s="144" t="s">
        <v>209</v>
      </c>
      <c r="B25" s="163">
        <v>20</v>
      </c>
      <c r="C25" s="255">
        <f>(SUM(C4:C7)-(B29*SUM(C4:C7)))/B25</f>
        <v>32625</v>
      </c>
      <c r="D25" s="251">
        <f>C25/Veal!AA50</f>
        <v>55.653286422517191</v>
      </c>
    </row>
    <row r="26" spans="1:4" ht="15.75" x14ac:dyDescent="0.25">
      <c r="A26" s="144" t="s">
        <v>211</v>
      </c>
      <c r="B26" s="163">
        <v>10</v>
      </c>
      <c r="C26" s="255">
        <f>(SUM(C9:C12)-(SUM(C9:C12)*B30))/B26</f>
        <v>7650</v>
      </c>
      <c r="D26" s="251">
        <f>C26/Veal!AA50</f>
        <v>13.049736126659203</v>
      </c>
    </row>
    <row r="27" spans="1:4" ht="15.75" x14ac:dyDescent="0.25">
      <c r="A27" s="144"/>
      <c r="B27" s="161"/>
      <c r="C27" s="255">
        <f>SUM(C25:C26)</f>
        <v>40275</v>
      </c>
      <c r="D27" s="251">
        <f>C27/Veal!AA50</f>
        <v>68.703022549176396</v>
      </c>
    </row>
    <row r="28" spans="1:4" ht="15.75" x14ac:dyDescent="0.25">
      <c r="A28" s="146" t="s">
        <v>227</v>
      </c>
      <c r="B28" s="159" t="s">
        <v>226</v>
      </c>
      <c r="C28" s="147"/>
      <c r="D28" s="162"/>
    </row>
    <row r="29" spans="1:4" ht="15.75" x14ac:dyDescent="0.25">
      <c r="A29" s="144" t="s">
        <v>209</v>
      </c>
      <c r="B29" s="160">
        <v>0.1</v>
      </c>
      <c r="C29" s="147"/>
      <c r="D29" s="162"/>
    </row>
    <row r="30" spans="1:4" ht="15.75" x14ac:dyDescent="0.25">
      <c r="A30" s="144" t="s">
        <v>211</v>
      </c>
      <c r="B30" s="160">
        <v>0.1</v>
      </c>
      <c r="C30" s="147"/>
      <c r="D30" s="162"/>
    </row>
    <row r="31" spans="1:4" ht="15.75" x14ac:dyDescent="0.25">
      <c r="A31" s="144"/>
      <c r="B31" s="161"/>
      <c r="C31" s="147"/>
      <c r="D31" s="162"/>
    </row>
    <row r="32" spans="1:4" ht="15.75" x14ac:dyDescent="0.25">
      <c r="A32" s="146" t="s">
        <v>229</v>
      </c>
      <c r="B32" s="159" t="s">
        <v>61</v>
      </c>
      <c r="C32" s="147"/>
      <c r="D32" s="162"/>
    </row>
    <row r="33" spans="1:4" ht="15.75" x14ac:dyDescent="0.25">
      <c r="A33" s="146" t="s">
        <v>230</v>
      </c>
      <c r="B33" s="160">
        <v>0.04</v>
      </c>
      <c r="C33" s="252">
        <f>C15*B33</f>
        <v>32400</v>
      </c>
      <c r="D33" s="251">
        <f>C33/Veal!AA50</f>
        <v>55.269470654086035</v>
      </c>
    </row>
    <row r="34" spans="1:4" ht="15.75" x14ac:dyDescent="0.25">
      <c r="A34" s="144"/>
      <c r="B34" s="161"/>
      <c r="C34" s="252"/>
      <c r="D34" s="251"/>
    </row>
    <row r="35" spans="1:4" ht="15.75" x14ac:dyDescent="0.25">
      <c r="A35" s="146" t="s">
        <v>224</v>
      </c>
      <c r="B35" s="159" t="s">
        <v>225</v>
      </c>
      <c r="C35" s="252"/>
      <c r="D35" s="251"/>
    </row>
    <row r="36" spans="1:4" ht="15.75" x14ac:dyDescent="0.25">
      <c r="A36" s="144" t="s">
        <v>209</v>
      </c>
      <c r="B36" s="164">
        <v>4.0000000000000001E-3</v>
      </c>
      <c r="C36" s="252">
        <f>SUM(C4:C7)*B36</f>
        <v>2900</v>
      </c>
      <c r="D36" s="251">
        <f>C36/Veal!AA50</f>
        <v>4.9469587931126391</v>
      </c>
    </row>
    <row r="37" spans="1:4" ht="15.75" x14ac:dyDescent="0.25">
      <c r="A37" s="165" t="s">
        <v>211</v>
      </c>
      <c r="B37" s="166">
        <v>4.0000000000000001E-3</v>
      </c>
      <c r="C37" s="253">
        <f>SUM(C9:C12)*B37</f>
        <v>340</v>
      </c>
      <c r="D37" s="254">
        <f>C37/Veal!AA50</f>
        <v>0.57998827229596461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Veal</vt:lpstr>
      <vt:lpstr>CapitalInvestment</vt:lpstr>
      <vt:lpstr>Veal!Print_Area</vt:lpstr>
    </vt:vector>
  </TitlesOfParts>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Molenhuis</dc:creator>
  <cp:lastModifiedBy>Molenhuis, John (OMAFRA)</cp:lastModifiedBy>
  <cp:lastPrinted>2019-07-29T14:45:42Z</cp:lastPrinted>
  <dcterms:created xsi:type="dcterms:W3CDTF">2003-10-15T02:21:04Z</dcterms:created>
  <dcterms:modified xsi:type="dcterms:W3CDTF">2020-11-09T18:51:20Z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2019-03-05T13:54:18.5659282Z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ies>
</file>