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webs\unix\french\busdev\bear2000\Budgets\livestock\cattle\"/>
    </mc:Choice>
  </mc:AlternateContent>
  <xr:revisionPtr revIDLastSave="0" documentId="13_ncr:1_{E2160693-F13C-4699-97C1-14AE7BDDB3DC}" xr6:coauthVersionLast="41" xr6:coauthVersionMax="41" xr10:uidLastSave="{00000000-0000-0000-0000-000000000000}"/>
  <bookViews>
    <workbookView xWindow="-110" yWindow="-110" windowWidth="19420" windowHeight="10420" xr2:uid="{00000000-000D-0000-FFFF-FFFF00000000}"/>
  </bookViews>
  <sheets>
    <sheet name="Cow Calf Notes" sheetId="6" r:id="rId1"/>
    <sheet name="Cow Calf COP" sheetId="5"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8" i="5" l="1"/>
  <c r="A49" i="5" s="1"/>
  <c r="A11" i="5"/>
  <c r="E36" i="5"/>
  <c r="E39" i="5"/>
  <c r="E37" i="5"/>
  <c r="E38" i="5"/>
  <c r="E40" i="5"/>
  <c r="E41" i="5"/>
  <c r="E42" i="5"/>
  <c r="D44" i="5"/>
  <c r="E44" i="5"/>
  <c r="D45" i="5"/>
  <c r="E45" i="5" s="1"/>
  <c r="E27" i="5"/>
  <c r="F27" i="5" s="1"/>
  <c r="E28" i="5"/>
  <c r="F28" i="5" s="1"/>
  <c r="E29" i="5"/>
  <c r="F29" i="5" s="1"/>
  <c r="E30" i="5"/>
  <c r="F30" i="5" s="1"/>
  <c r="E31" i="5"/>
  <c r="F31" i="5" s="1"/>
  <c r="E32" i="5"/>
  <c r="F32" i="5"/>
  <c r="B16" i="5"/>
  <c r="F19" i="5"/>
  <c r="F20" i="5"/>
  <c r="F21" i="5"/>
  <c r="E21" i="5" s="1"/>
  <c r="E19" i="5"/>
  <c r="E20" i="5"/>
  <c r="AA19" i="5"/>
  <c r="L14" i="5"/>
  <c r="AA14" i="5" s="1"/>
  <c r="AB14" i="5" s="1"/>
  <c r="B21" i="5"/>
  <c r="N30" i="5"/>
  <c r="P30" i="5"/>
  <c r="M31" i="5"/>
  <c r="M33" i="5"/>
  <c r="B47" i="5"/>
  <c r="E47" i="5" l="1"/>
  <c r="E25" i="5" s="1"/>
  <c r="F25" i="5" s="1"/>
  <c r="AC14" i="5"/>
  <c r="AD14" i="5"/>
  <c r="AE14" i="5" s="1"/>
  <c r="AF14" i="5" s="1"/>
  <c r="E22" i="5"/>
  <c r="F22" i="5"/>
  <c r="E48" i="5"/>
  <c r="E26" i="5" s="1"/>
  <c r="F26" i="5" s="1"/>
  <c r="E53" i="5"/>
  <c r="F53" i="5"/>
  <c r="E49" i="5"/>
  <c r="B25" i="5" s="1"/>
  <c r="Z14" i="5" l="1"/>
  <c r="E33" i="5"/>
  <c r="F33" i="5"/>
  <c r="AA20" i="5" l="1"/>
  <c r="F55" i="5"/>
  <c r="E55" i="5"/>
  <c r="AA9" i="5"/>
  <c r="Z9" i="5"/>
  <c r="F52" i="5"/>
  <c r="F54" i="5" s="1"/>
  <c r="E52" i="5"/>
  <c r="E56" i="5"/>
  <c r="F56" i="5"/>
  <c r="AC9" i="5" l="1"/>
  <c r="L15" i="5"/>
  <c r="E54" i="5"/>
  <c r="N17" i="5" s="1"/>
  <c r="O32" i="5" s="1"/>
  <c r="AA16" i="5" l="1"/>
  <c r="AD16" i="5"/>
  <c r="Z16" i="5"/>
  <c r="O31" i="5" l="1"/>
  <c r="O33" i="5"/>
  <c r="N33" i="5"/>
  <c r="N31" i="5"/>
  <c r="N32" i="5"/>
  <c r="P31" i="5"/>
  <c r="P33" i="5"/>
  <c r="P32" i="5"/>
</calcChain>
</file>

<file path=xl/sharedStrings.xml><?xml version="1.0" encoding="utf-8"?>
<sst xmlns="http://schemas.openxmlformats.org/spreadsheetml/2006/main" count="177" uniqueCount="152">
  <si>
    <t>Le prix de vente prévu que vous avez entré et les coûts de production qui ont été calculés à l'aide de l'outil de calcul sont affichés ci-dessous à gauche.</t>
  </si>
  <si>
    <t>Prix de vente prévu</t>
  </si>
  <si>
    <t>Coûts prévus/lb de veau sur pied</t>
  </si>
  <si>
    <t>Interprétation du tableau :</t>
  </si>
  <si>
    <t>(p. ex. de + ou - 10 %) par rapport aux valeurs clés que vous avez entrées.</t>
  </si>
  <si>
    <t>Pour connaître l'influence de chaque combinaison de variation, il s'agit de se reporter au libellé de la rangée et de la colonne correspondante.</t>
  </si>
  <si>
    <t>Prix de vente</t>
  </si>
  <si>
    <t>Plus</t>
  </si>
  <si>
    <t>Prévu</t>
  </si>
  <si>
    <t>Moins</t>
  </si>
  <si>
    <t>Coûts/lb de veau sur pied</t>
  </si>
  <si>
    <t>Variables clés d'une exploitation vache-veau :</t>
  </si>
  <si>
    <t>Variation du prix de vente par rapport au prix de vente prévu</t>
  </si>
  <si>
    <t>Variation des coûts de production par rapport aux coûts prévus</t>
  </si>
  <si>
    <t>+ / - %</t>
  </si>
  <si>
    <t>$/tonne</t>
  </si>
  <si>
    <t>plus</t>
  </si>
  <si>
    <t>negative</t>
  </si>
  <si>
    <t>expected</t>
  </si>
  <si>
    <t>new sale price</t>
  </si>
  <si>
    <t>new $ sale</t>
  </si>
  <si>
    <t>new return/lb</t>
  </si>
  <si>
    <t>new cost</t>
  </si>
  <si>
    <t>value of weaned calves</t>
  </si>
  <si>
    <t>breakeven price</t>
  </si>
  <si>
    <t>stddev</t>
  </si>
  <si>
    <t>average</t>
  </si>
  <si>
    <t>opt</t>
  </si>
  <si>
    <t>prob</t>
  </si>
  <si>
    <t>ag.info@omaf.gov.on.ca</t>
  </si>
  <si>
    <t>Outil de calcul des coûts de production des exploitations vache-veau</t>
  </si>
  <si>
    <t>Les données fournies par l'outil de calcul ne seront précises que dans la mesure où les données que vous entrerez le seront.</t>
  </si>
  <si>
    <t>Budget élaboré par :</t>
  </si>
  <si>
    <t>Joanne Handley, chef de programme, bovins de boucherie</t>
  </si>
  <si>
    <t>Nancy Noecker, spécialiste des exploitations vache-veau</t>
  </si>
  <si>
    <t>John Molenhuis, chargé de programme, analyse des activités commerciales et des coûts de production</t>
  </si>
  <si>
    <t>1 877 424-1300</t>
  </si>
  <si>
    <t>Information sur les vaches</t>
  </si>
  <si>
    <t>Nbre de vaches</t>
  </si>
  <si>
    <t>Poids moyen des vaches (lb)</t>
  </si>
  <si>
    <t>Jours de fourrages conservés</t>
  </si>
  <si>
    <t>Jours de pâturage</t>
  </si>
  <si>
    <t>Jours de broutage du regain</t>
  </si>
  <si>
    <t>Information sur les veaux</t>
  </si>
  <si>
    <t>Nbre de veaux commercialisés</t>
  </si>
  <si>
    <t>Poids à la vente (lb)</t>
  </si>
  <si>
    <t>Prix de vente ($/lb)</t>
  </si>
  <si>
    <t>Rendement sur les veaux</t>
  </si>
  <si>
    <t>Nbre de veaux conservés</t>
  </si>
  <si>
    <t>Poids moyen au sevrage (lb)</t>
  </si>
  <si>
    <t>Valeur moyenne ($/lb)</t>
  </si>
  <si>
    <t>Valeur totale des veaux conservés</t>
  </si>
  <si>
    <t>Coût des aliments</t>
  </si>
  <si>
    <t>Santé, soins vétérin. ($/tête)</t>
  </si>
  <si>
    <t>Reproduction ($/tête)</t>
  </si>
  <si>
    <t>Commerc., transport ($/tête)</t>
  </si>
  <si>
    <t>* Parcage ($/tête/jour)</t>
  </si>
  <si>
    <t>Besoins en aliments</t>
  </si>
  <si>
    <t>Foin</t>
  </si>
  <si>
    <t>Ensilage mi-fané</t>
  </si>
  <si>
    <t>Ensilage de maïs</t>
  </si>
  <si>
    <t>Maïs sec</t>
  </si>
  <si>
    <t>Suppl. pour bov. de bouch.</t>
  </si>
  <si>
    <t>Sel et minéraux</t>
  </si>
  <si>
    <t>Pâturage</t>
  </si>
  <si>
    <t>Broutage du regain</t>
  </si>
  <si>
    <t>% de MS consommée (2,5 % du poids corp.)</t>
  </si>
  <si>
    <t>MS réellement offerte</t>
  </si>
  <si>
    <t>Chaque exploitant peut modifier les nombres en bleu pour refléter les données de son entreprise.</t>
  </si>
  <si>
    <t>$/jour</t>
  </si>
  <si>
    <t>Rendements**</t>
  </si>
  <si>
    <t>Coût de production/lb de veau sur pied</t>
  </si>
  <si>
    <t>Rendement/lb de veau sur pied</t>
  </si>
  <si>
    <t>Vaches pleines de remplacement</t>
  </si>
  <si>
    <t>Coût ($/tête)</t>
  </si>
  <si>
    <t>Ventes de bétail</t>
  </si>
  <si>
    <t>Nbre de vaches de réforme</t>
  </si>
  <si>
    <t>Valeur des vaches de réforme ($/tête)</t>
  </si>
  <si>
    <t>Valeur des animaux vendus pour la reprod. ($/tête)</t>
  </si>
  <si>
    <t>Produits tirés du troupeau de vaches</t>
  </si>
  <si>
    <t>Veaux vendus</t>
  </si>
  <si>
    <t>Vaches de réforme vendues</t>
  </si>
  <si>
    <t>Reproducteurs vendus</t>
  </si>
  <si>
    <t>Charges liées au troupeau de vaches</t>
  </si>
  <si>
    <t>Coût des fourrages d'hiver</t>
  </si>
  <si>
    <t>Coût du pâturage</t>
  </si>
  <si>
    <t>Parcage</t>
  </si>
  <si>
    <t>Intérêts</t>
  </si>
  <si>
    <t>Animaux de remplacement</t>
  </si>
  <si>
    <t>Nombre de jours</t>
  </si>
  <si>
    <t>Coût total des aliments</t>
  </si>
  <si>
    <t>$/vache</t>
  </si>
  <si>
    <t>Veaux produits</t>
  </si>
  <si>
    <t>Analyse des risques</t>
  </si>
  <si>
    <t>$ Outil de calcul des coûts de production des exploitations vache-veau $</t>
  </si>
  <si>
    <t>Charges (troup.)</t>
  </si>
  <si>
    <t>Produits (troup.)</t>
  </si>
  <si>
    <t>Nbre d'animaux vendus pour la reprod.</t>
  </si>
  <si>
    <t>Total des charges liées aux vaches</t>
  </si>
  <si>
    <t xml:space="preserve">** Le poste Parcage comprend l'électricité, le téléphone, les taxes, les assurances, la litière, l'enlèvement du fumier, </t>
  </si>
  <si>
    <t>le logement et la réparation du matériel.</t>
  </si>
  <si>
    <t>Pour plus d'information, veuillez communiquer avec le :</t>
  </si>
  <si>
    <t>Centre d'information agricole</t>
  </si>
  <si>
    <t>Voici un outil de calcul destiné à aider les producteurs à établir les coûts de production annuels de leur exploitation vache-veau. Il fournit une évaluation des coûts des aliments, de ce que 1 lb de veau sur pied coûte et rapporte compte tenu soit du nombre de veaux produits (comptabilité d'exercice) soit du nombre de veaux vendus (comptabilité de caisse), et du profit (ou de la perte) par lb de veau sur pied produit, par vache et pour l'ensemble du troupeau.</t>
  </si>
  <si>
    <t>L'outil de calcul permet non seulement d'évaluer les rendements passés, mais également d'établir des prévisions. Il permet d'étudier différents scénarios touchant à la fois les coûts des aliments et le prix de vente des veaux sur pied. Vous n'avez qu'à remplacer les données en bleu dans l'outil de calcul.</t>
  </si>
  <si>
    <t>Il vous faut entrer de l'information sur les vaches et sur le nombre de jours où l'alimentation repose sur des fourrages conservés, le pâturage et le broutage du regain. Au total, les jours correspondant à ces trois sources d'aliments doivent donner 365 jours (1 année). Autrement, un avertissement apparaît.</t>
  </si>
  <si>
    <t>Le parcage, un coût exprimé par tête par jour, comprend la part imputable à l'exploitation vache-veau des coûts au titre de l'électricité, du téléphone, des taxes, des assurances, de la litière, de l'enlèvement du fumier, du logement et de la réparation du matériel. Les intérêts se limitent aux intérêts sur les prêts d'exploitation et ne comprennent pas les intérêts sur la dette à long terme.</t>
  </si>
  <si>
    <t>À la section Vaches pleines de remplacement, vous devez entrer le nombre de vaches pleines que vous avez achetées comme vaches de remplacement et/ou le nombre de vaches pleines élevées à la ferme ainsi qu'un coût ou une valeur moyenne. N'incluez que les vaches de remplacement introduites dans le troupeau qui vêleront et/ou sèvreront un veau dans l'année visée par les calculs. La valeur des vaches de remplacement élevées à la ferme sera prise en compte dans l'ensemble des coûts comptabilisés selon la méthode de la comptabilité d'exercice.</t>
  </si>
  <si>
    <t>La section Information sur les veaux vous permet de faire des prévisions de rendement sur la production de veaux de l'année. Inscrivez le nombre de veaux commercialisés et conservés, leur poids moyen ainsi que leur prix de vente ou leur valeur moyenne.</t>
  </si>
  <si>
    <t>La section Ventes de bétail vous permet de faire le suivi des produits d'exploitation tirés du troupeau vache-veau, autres que ceux qui proviennent des veaux sevrés. Entrez le nombre de vaches et de taureaux de réforme vendus ainsi que tout animal vendu à des fins de reproduction, ainsi que leur valeur moyenne.</t>
  </si>
  <si>
    <t>La section Produits tirés du troupeau de vaches comprend les encaissements touchés durant l'année à la suite de la vente de veaux, d'animaux de réforme et de géniteurs.</t>
  </si>
  <si>
    <t>Les charges liées aux vaches comprennent les charges variables, dont les coûts engagés au titre de la santé et des soins vétérinaires, de la reproduction, du parcage et des aliments (coût des aliments et quantités servies). Le parcage, un coût exprimé par tête par jour, comprend la part imputable à l'exploitation vache-veau des coûts au titre de l'électricité, du téléphone, des taxes, des assurances, de la litière, de l'enlèvement du fumier, du logement et de la réparation du matériel. Les intérêts se limitent aux intérêts sur les prêts d'exploitation et ne comprennent pas les intérêts sur la dette à long terme. Le coût/génisse élevée/an représente ce qu'il en coûte par génisse par année pour élever vos propres génisses de remplacement. Ce coût est pris en compte dans la détermination des décaissements selon la méthode de la comptabilité de caisse.</t>
  </si>
  <si>
    <t>La section Besoins en aliments vous permet d'entrer la quantité annuelle d'aliments servis au troupeau de vaches. N'incluez que les aliments servis aux vaches susceptibles de vêler dans l'année visée par les calculs. Pour chaque aliment, entrez le coût de l'aliment par tonne et la quantité servie, en lb/tête/jour. Ces données vous permettront de connaître les coûts des fourrages conservés, compte tenu du nombre de jours indiqué au haut de la page. Pour que les valeurs que vous entrez au titre des aliments soient réalistes, la teneur en matière sèche offerte est calculée et comparée à la consommation probable de matière sèche compte tenu du poids corporel de vos vaches. Si la teneur en matière sèche de l'aliment servi est inférieure à 2,1 % ou supérieure à 2,7 % du poids corporel, un avertissement sera affiché, qui vous obligera à réévaluer la quantité d'aliments servie. Entrez les coûts au titre du pâturage et du broutage du regain en dollars/jour. Le report du nombre de jours que vous avez indiqué dans le haut de la page se fera automatiquement. Ces données fournissent les coûts annuels des aliments par vache.</t>
  </si>
  <si>
    <t>Nbre de vaches achetées</t>
  </si>
  <si>
    <t xml:space="preserve">Nbre de vaches élevées </t>
  </si>
  <si>
    <t>Valeur des vaches de rempl. élevées</t>
  </si>
  <si>
    <t>Charges liées aux vaches</t>
  </si>
  <si>
    <t>Intérêts sur prêt d'exploit. ($/tête)</t>
  </si>
  <si>
    <t>Coût/génisse élevée/an</t>
  </si>
  <si>
    <t>lb/tête/jour</t>
  </si>
  <si>
    <t>% de MS</t>
  </si>
  <si>
    <t>Bénéfice (perte)/lb de veau sur pied</t>
  </si>
  <si>
    <t>Bénéfice (perte)/lb de vache sur pied</t>
  </si>
  <si>
    <t>Bénéfice (perte) pour le troupeau</t>
  </si>
  <si>
    <t>Inversement, plus les prix de vente sont bas et plus les coûts de production sont élevés, plus le rendement net diminue.</t>
  </si>
  <si>
    <t xml:space="preserve">Les prévisions de rendement sont sujettes aux risques de fluctuations des produits et des charges. Les prix de vente et les coûts de production sont les </t>
  </si>
  <si>
    <t>variables clés pour une entreprise vache-veau. Plus les prix de vente sont élevés et plus les coûts de production sont bas, plus le rendement net augmente.</t>
  </si>
  <si>
    <t>Vous pouvez évaluer l'influence que pourrait avoir sur le rendement net/lb de veau sur pied, des modifications aux prix de vente et aux coûts de production</t>
  </si>
  <si>
    <t xml:space="preserve">en entrant dans la colonne de droite des pourcentages de variation en plus ou en moins par rapport aux valeurs indiquées. L'effet de la modification est affiché </t>
  </si>
  <si>
    <t>dans le tableau qui suit.</t>
  </si>
  <si>
    <t>$/lb</t>
  </si>
  <si>
    <t>Rendement net/lb de veau sur pied</t>
  </si>
  <si>
    <t>Le rendement net prévu/lb de veau sur pied repose sur l'information que vous avez fournie à l'outil de calcul. Il figure dans la case en brillance au centre du tableau.</t>
  </si>
  <si>
    <t>Les cases avoisinantes indiquent l'influence que pourrait avoir sur le rendement net/lb de veau sur pied une variation de l'ampleur indiquée</t>
  </si>
  <si>
    <t>Quelle variation à le plus d'influence sur le rendement net de votre exploitation? Est-ce la variation du prix de vente ou la variation des coûts de production?</t>
  </si>
  <si>
    <t>Rendement net prévu/lb de veau sur pied</t>
  </si>
  <si>
    <t>Total des produits</t>
  </si>
  <si>
    <t>Valeurs prévues</t>
  </si>
  <si>
    <t>(plus haut) :</t>
  </si>
  <si>
    <t xml:space="preserve">Drèches de distillerie sèches </t>
  </si>
  <si>
    <r>
      <t>La section Rendements présente une analyse des données que vous avez entrées. Des chiffres apparaissent dans deux colonnes. La première,</t>
    </r>
    <r>
      <rPr>
        <b/>
        <sz val="12"/>
        <color indexed="8"/>
        <rFont val="Arial"/>
        <family val="2"/>
      </rPr>
      <t xml:space="preserve"> Veaux produits</t>
    </r>
    <r>
      <rPr>
        <sz val="12"/>
        <color indexed="8"/>
        <rFont val="Arial"/>
        <family val="2"/>
      </rPr>
      <t xml:space="preserve"> reflète la production totale du troupeau de vaches pour l'année et comprend le poids total et la valeur des veaux produits, qu'ils aient été vendus ou conservés. Dans cette colonne, une valeur est attribuée aux veaux conservés et ces derniers sont considérés comme ayant été vendus à un autre atelier (c.-à-d. élevage de taureaux, élevage de génisses, semi-finition). Par conséquent, on crédite le troupeau de vaches de la totalité de la production et de la valeur des veaux sevrés au cours de l'année en cause. Les génisses de remplacement élevées à la ferme et  introduites dans le troupeau une fois saillies sont considérées comme ayant été achetées par le troupeau de vaches à leur juste valeur marchande. Elles sont donc incluses dans les charges liées au troupeau de vaches.</t>
    </r>
  </si>
  <si>
    <r>
      <t xml:space="preserve">La colonne </t>
    </r>
    <r>
      <rPr>
        <b/>
        <sz val="12"/>
        <color indexed="8"/>
        <rFont val="Arial"/>
        <family val="2"/>
      </rPr>
      <t>Veaux vendus</t>
    </r>
    <r>
      <rPr>
        <sz val="12"/>
        <color indexed="8"/>
        <rFont val="Arial"/>
        <family val="2"/>
      </rPr>
      <t xml:space="preserve"> ne tient compte dans les rendements que des décaissements et des encaissements relatifs à l'année en cause. Seuls les veaux commercialisés sont inclus, de telle sorte que le total des charges liées aux vaches est rajusté de manière à inlcure les coûts annuels d'élevage de chaque génisse élevée à la ferme et introduite dans le troupeau plutôt que la pleine valeur marchande des animaux de remplacement élevés à la ferme. Cette colonne permet de connaître vos rendements pour l'année suivant la méthode de la comptabilité de caisse, ce qui permet de déterminer si le troupeau de vaches génère suffisamment de liquidités pour faire face au service de la dette.</t>
    </r>
  </si>
  <si>
    <t>www.omafra.gov.on.ca</t>
  </si>
  <si>
    <t xml:space="preserve">est incluse dans le calcul du rendement/lb de veau sur pied. Les génisses de remplacement élevées sont incluses, à leur juste valeur marchande, </t>
  </si>
  <si>
    <t>dans les charges liées au troupeau de vaches.</t>
  </si>
  <si>
    <t xml:space="preserve">La colonne Veaux vendus ne tient compte que des veaux ayant donné lieu à des décaissements et à des encaissements. Seuls les veaux commercialisés </t>
  </si>
  <si>
    <t xml:space="preserve">sont pris en compte. Les charges totales rattachées aux vaches sont rajustées pour tenir compte du coût de production annuel des génisses plutôt </t>
  </si>
  <si>
    <t>que de la valeur marchande totale des animaux de remplacement élevés à la ferme.</t>
  </si>
  <si>
    <t xml:space="preserve">**Rendements : Les veaux produits comprennent tous les veaux nés au sein du troupeau, qu'ils soient vendus ou conservés. La valeur des veaux conservés </t>
  </si>
  <si>
    <t>Il s’agit d’un outil de budgétisation contenant deux feuilles pour de calcul du coût de production. Des champs à remplir sont prévus pour l’utilisateur. L’outil comporte 21 colonnes et 252 lignes.</t>
  </si>
  <si>
    <t>Révisé: janvier 2020</t>
  </si>
  <si>
    <t>fin de la feuille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</si>
</sst>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 &quot;$&quot;_);\(#,##0.00\ &quot;$&quot;\)"/>
    <numFmt numFmtId="169" formatCode="&quot;$&quot;#,##0.00"/>
    <numFmt numFmtId="170" formatCode="0.0%"/>
    <numFmt numFmtId="171" formatCode="_(* #,##0.0_);_(* \(#,##0.0\);_(* &quot;-&quot;?_);_(@_)"/>
    <numFmt numFmtId="172" formatCode="_(&quot;$&quot;* #,##0_);_(&quot;$&quot;* \(#,##0\);_(&quot;$&quot;* &quot;-&quot;??_);_(@_)"/>
    <numFmt numFmtId="173" formatCode="_(&quot;$&quot;* #,##0.00_);_(&quot;$&quot;* \(#,##0.00\);_(&quot;$&quot;* &quot;-&quot;_);_(@_)"/>
    <numFmt numFmtId="174" formatCode="0_);\(0\)"/>
    <numFmt numFmtId="175" formatCode="#,##0.00\ &quot;$&quot;"/>
  </numFmts>
  <fonts count="20" x14ac:knownFonts="1">
    <font>
      <sz val="10"/>
      <name val="Arial"/>
    </font>
    <font>
      <sz val="10"/>
      <name val="Arial"/>
      <family val="2"/>
    </font>
    <font>
      <sz val="12"/>
      <name val="Times New Roman"/>
      <family val="1"/>
    </font>
    <font>
      <b/>
      <sz val="12"/>
      <color indexed="10"/>
      <name val="Arial"/>
      <family val="2"/>
    </font>
    <font>
      <sz val="12"/>
      <name val="Arial"/>
      <family val="2"/>
    </font>
    <font>
      <b/>
      <sz val="12"/>
      <name val="Arial"/>
      <family val="2"/>
    </font>
    <font>
      <b/>
      <sz val="12"/>
      <color indexed="8"/>
      <name val="Arial"/>
      <family val="2"/>
    </font>
    <font>
      <b/>
      <sz val="12"/>
      <color indexed="12"/>
      <name val="Arial"/>
      <family val="2"/>
    </font>
    <font>
      <b/>
      <sz val="16"/>
      <name val="Arial"/>
      <family val="2"/>
    </font>
    <font>
      <sz val="8"/>
      <name val="Arial"/>
      <family val="2"/>
    </font>
    <font>
      <b/>
      <sz val="16"/>
      <color indexed="8"/>
      <name val="Arial"/>
      <family val="2"/>
    </font>
    <font>
      <sz val="12"/>
      <color indexed="8"/>
      <name val="Arial"/>
      <family val="2"/>
    </font>
    <font>
      <b/>
      <sz val="18"/>
      <color indexed="17"/>
      <name val="Arial"/>
      <family val="2"/>
    </font>
    <font>
      <sz val="12"/>
      <color indexed="14"/>
      <name val="Arial"/>
      <family val="2"/>
    </font>
    <font>
      <sz val="12"/>
      <color indexed="43"/>
      <name val="Arial"/>
      <family val="2"/>
    </font>
    <font>
      <sz val="12"/>
      <color indexed="10"/>
      <name val="Arial"/>
      <family val="2"/>
    </font>
    <font>
      <u/>
      <sz val="10"/>
      <color theme="10"/>
      <name val="Arial"/>
      <family val="2"/>
    </font>
    <font>
      <u/>
      <sz val="12"/>
      <color theme="10"/>
      <name val="Arial"/>
      <family val="2"/>
    </font>
    <font>
      <b/>
      <sz val="12"/>
      <color theme="1"/>
      <name val="Arial"/>
      <family val="2"/>
    </font>
    <font>
      <sz val="10"/>
      <name val="Courier"/>
      <family val="3"/>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indexed="9"/>
        <bgColor indexed="42"/>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166" fontId="2" fillId="0" borderId="0" applyFont="0" applyFill="0" applyBorder="0" applyAlignment="0" applyProtection="0"/>
    <xf numFmtId="0" fontId="1" fillId="0" borderId="0"/>
    <xf numFmtId="0" fontId="1" fillId="0" borderId="0"/>
    <xf numFmtId="0" fontId="16" fillId="0" borderId="0" applyNumberFormat="0" applyFill="0" applyBorder="0" applyAlignment="0" applyProtection="0"/>
    <xf numFmtId="0" fontId="19" fillId="0" borderId="0"/>
  </cellStyleXfs>
  <cellXfs count="211">
    <xf numFmtId="0" fontId="0" fillId="0" borderId="0" xfId="0"/>
    <xf numFmtId="0" fontId="3" fillId="2" borderId="0" xfId="3" applyFont="1" applyFill="1"/>
    <xf numFmtId="0" fontId="4" fillId="2" borderId="0" xfId="3" applyFont="1" applyFill="1"/>
    <xf numFmtId="0" fontId="5" fillId="2" borderId="0" xfId="3" applyFont="1" applyFill="1"/>
    <xf numFmtId="0" fontId="6" fillId="2" borderId="1" xfId="3" applyFont="1" applyFill="1" applyBorder="1"/>
    <xf numFmtId="165" fontId="7" fillId="2" borderId="1" xfId="3" applyNumberFormat="1" applyFont="1" applyFill="1" applyBorder="1" applyProtection="1">
      <protection locked="0"/>
    </xf>
    <xf numFmtId="164" fontId="3" fillId="2" borderId="0" xfId="3" applyNumberFormat="1" applyFont="1" applyFill="1" applyBorder="1"/>
    <xf numFmtId="166" fontId="3" fillId="2" borderId="1" xfId="1" applyFont="1" applyFill="1" applyBorder="1"/>
    <xf numFmtId="164" fontId="7" fillId="2" borderId="1" xfId="1" applyNumberFormat="1" applyFont="1" applyFill="1" applyBorder="1" applyProtection="1">
      <protection locked="0"/>
    </xf>
    <xf numFmtId="166" fontId="7" fillId="2" borderId="1" xfId="1" applyFont="1" applyFill="1" applyBorder="1" applyProtection="1">
      <protection locked="0"/>
    </xf>
    <xf numFmtId="37" fontId="7" fillId="2" borderId="1" xfId="1" applyNumberFormat="1" applyFont="1" applyFill="1" applyBorder="1" applyProtection="1">
      <protection locked="0"/>
    </xf>
    <xf numFmtId="9" fontId="7" fillId="2" borderId="2" xfId="3" applyNumberFormat="1" applyFont="1" applyFill="1" applyBorder="1" applyAlignment="1" applyProtection="1">
      <alignment horizontal="center"/>
      <protection locked="0"/>
    </xf>
    <xf numFmtId="0" fontId="4" fillId="2" borderId="0" xfId="3" applyFont="1" applyFill="1" applyAlignment="1">
      <alignment horizontal="right"/>
    </xf>
    <xf numFmtId="1" fontId="7" fillId="2" borderId="1" xfId="3" applyNumberFormat="1" applyFont="1" applyFill="1" applyBorder="1" applyProtection="1">
      <protection locked="0"/>
    </xf>
    <xf numFmtId="0" fontId="5" fillId="2" borderId="3" xfId="3" applyFont="1" applyFill="1" applyBorder="1" applyAlignment="1">
      <alignment horizontal="center"/>
    </xf>
    <xf numFmtId="9" fontId="7" fillId="2" borderId="0" xfId="3" applyNumberFormat="1" applyFont="1" applyFill="1" applyBorder="1" applyAlignment="1" applyProtection="1">
      <alignment horizontal="center"/>
      <protection locked="0"/>
    </xf>
    <xf numFmtId="166" fontId="5" fillId="2" borderId="0" xfId="3" applyNumberFormat="1" applyFont="1" applyFill="1" applyBorder="1"/>
    <xf numFmtId="166" fontId="5" fillId="2" borderId="8" xfId="3" applyNumberFormat="1" applyFont="1" applyFill="1" applyBorder="1"/>
    <xf numFmtId="9" fontId="7" fillId="2" borderId="8" xfId="3" applyNumberFormat="1" applyFont="1" applyFill="1" applyBorder="1" applyAlignment="1" applyProtection="1">
      <alignment horizontal="center"/>
      <protection locked="0"/>
    </xf>
    <xf numFmtId="164" fontId="7" fillId="2" borderId="1" xfId="3" applyNumberFormat="1" applyFont="1" applyFill="1" applyBorder="1" applyProtection="1">
      <protection locked="0"/>
    </xf>
    <xf numFmtId="166" fontId="5" fillId="2" borderId="3" xfId="3" applyNumberFormat="1" applyFont="1" applyFill="1" applyBorder="1"/>
    <xf numFmtId="9" fontId="7" fillId="2" borderId="3" xfId="3" applyNumberFormat="1" applyFont="1" applyFill="1" applyBorder="1" applyAlignment="1" applyProtection="1">
      <alignment horizontal="center"/>
      <protection locked="0"/>
    </xf>
    <xf numFmtId="0" fontId="4" fillId="2" borderId="10" xfId="3" applyFont="1" applyFill="1" applyBorder="1"/>
    <xf numFmtId="0" fontId="4" fillId="2" borderId="6" xfId="3" applyFont="1" applyFill="1" applyBorder="1"/>
    <xf numFmtId="0" fontId="4" fillId="4" borderId="0" xfId="3" applyFont="1" applyFill="1" applyBorder="1" applyAlignment="1">
      <alignment horizontal="center"/>
    </xf>
    <xf numFmtId="9" fontId="4" fillId="4" borderId="11" xfId="3" applyNumberFormat="1" applyFont="1" applyFill="1" applyBorder="1"/>
    <xf numFmtId="172" fontId="7" fillId="2" borderId="1" xfId="2" applyNumberFormat="1" applyFont="1" applyFill="1" applyBorder="1" applyProtection="1">
      <protection locked="0"/>
    </xf>
    <xf numFmtId="171" fontId="7" fillId="2" borderId="1" xfId="2" applyNumberFormat="1" applyFont="1" applyFill="1" applyBorder="1" applyProtection="1">
      <protection locked="0"/>
    </xf>
    <xf numFmtId="3" fontId="7" fillId="2" borderId="1" xfId="2" applyNumberFormat="1" applyFont="1" applyFill="1" applyBorder="1" applyProtection="1">
      <protection locked="0"/>
    </xf>
    <xf numFmtId="0" fontId="5" fillId="2" borderId="13" xfId="2" applyFont="1" applyFill="1" applyBorder="1"/>
    <xf numFmtId="166" fontId="7" fillId="2" borderId="12" xfId="2" applyNumberFormat="1" applyFont="1" applyFill="1" applyBorder="1" applyProtection="1">
      <protection locked="0"/>
    </xf>
    <xf numFmtId="164" fontId="7" fillId="2" borderId="0" xfId="3" applyNumberFormat="1" applyFont="1" applyFill="1" applyBorder="1"/>
    <xf numFmtId="0" fontId="4" fillId="2" borderId="0" xfId="3" applyFont="1" applyFill="1" applyBorder="1"/>
    <xf numFmtId="0" fontId="6" fillId="2" borderId="7" xfId="3" applyFont="1" applyFill="1" applyBorder="1" applyAlignment="1">
      <alignment horizontal="left"/>
    </xf>
    <xf numFmtId="0" fontId="4" fillId="2" borderId="14" xfId="3" applyFont="1" applyFill="1" applyBorder="1"/>
    <xf numFmtId="0" fontId="4" fillId="2" borderId="3" xfId="3" applyFont="1" applyFill="1" applyBorder="1"/>
    <xf numFmtId="0" fontId="4" fillId="2" borderId="0" xfId="3" applyFont="1" applyFill="1" applyBorder="1" applyProtection="1">
      <protection locked="0"/>
    </xf>
    <xf numFmtId="172" fontId="7" fillId="2" borderId="5" xfId="2" applyNumberFormat="1" applyFont="1" applyFill="1" applyBorder="1" applyProtection="1">
      <protection locked="0"/>
    </xf>
    <xf numFmtId="3" fontId="7" fillId="2" borderId="6" xfId="2" applyNumberFormat="1" applyFont="1" applyFill="1" applyBorder="1" applyProtection="1">
      <protection locked="0"/>
    </xf>
    <xf numFmtId="0" fontId="4" fillId="2" borderId="0" xfId="2" applyFont="1" applyFill="1" applyBorder="1"/>
    <xf numFmtId="0" fontId="5" fillId="2" borderId="6" xfId="2" applyFont="1" applyFill="1" applyBorder="1"/>
    <xf numFmtId="166" fontId="4" fillId="5" borderId="11" xfId="3" applyNumberFormat="1" applyFont="1" applyFill="1" applyBorder="1"/>
    <xf numFmtId="0" fontId="4" fillId="5" borderId="16" xfId="3" applyFont="1" applyFill="1" applyBorder="1" applyAlignment="1">
      <alignment horizontal="centerContinuous"/>
    </xf>
    <xf numFmtId="0" fontId="4" fillId="5" borderId="12" xfId="3" applyFont="1" applyFill="1" applyBorder="1" applyAlignment="1">
      <alignment horizontal="centerContinuous"/>
    </xf>
    <xf numFmtId="0" fontId="4" fillId="2" borderId="4" xfId="3" applyFont="1" applyFill="1" applyBorder="1"/>
    <xf numFmtId="0" fontId="4" fillId="2" borderId="17" xfId="3" applyFont="1" applyFill="1" applyBorder="1"/>
    <xf numFmtId="9" fontId="4" fillId="4" borderId="9" xfId="3" applyNumberFormat="1" applyFont="1" applyFill="1" applyBorder="1" applyAlignment="1">
      <alignment horizontal="center"/>
    </xf>
    <xf numFmtId="9" fontId="4" fillId="4" borderId="21" xfId="3" applyNumberFormat="1" applyFont="1" applyFill="1" applyBorder="1" applyAlignment="1">
      <alignment horizontal="center"/>
    </xf>
    <xf numFmtId="9" fontId="4" fillId="4" borderId="9" xfId="3" applyNumberFormat="1" applyFont="1" applyFill="1" applyBorder="1"/>
    <xf numFmtId="9" fontId="4" fillId="4" borderId="22" xfId="3" applyNumberFormat="1" applyFont="1" applyFill="1" applyBorder="1"/>
    <xf numFmtId="1" fontId="7" fillId="2" borderId="11" xfId="3" applyNumberFormat="1" applyFont="1" applyFill="1" applyBorder="1" applyProtection="1">
      <protection locked="0"/>
    </xf>
    <xf numFmtId="37" fontId="7" fillId="2" borderId="1" xfId="3" applyNumberFormat="1" applyFont="1" applyFill="1" applyBorder="1" applyProtection="1">
      <protection locked="0"/>
    </xf>
    <xf numFmtId="174" fontId="7" fillId="2" borderId="1" xfId="3" applyNumberFormat="1" applyFont="1" applyFill="1" applyBorder="1" applyProtection="1">
      <protection locked="0"/>
    </xf>
    <xf numFmtId="0" fontId="7" fillId="2" borderId="1" xfId="2" applyFont="1" applyFill="1" applyBorder="1" applyProtection="1">
      <protection locked="0"/>
    </xf>
    <xf numFmtId="37" fontId="3" fillId="2" borderId="12" xfId="2" applyNumberFormat="1" applyFont="1" applyFill="1" applyBorder="1" applyProtection="1"/>
    <xf numFmtId="164" fontId="3" fillId="2" borderId="12" xfId="3" applyNumberFormat="1" applyFont="1" applyFill="1" applyBorder="1" applyProtection="1"/>
    <xf numFmtId="166" fontId="5" fillId="0" borderId="1" xfId="3" applyNumberFormat="1" applyFont="1" applyBorder="1" applyProtection="1"/>
    <xf numFmtId="39" fontId="5" fillId="6" borderId="24" xfId="3" applyNumberFormat="1" applyFont="1" applyFill="1" applyBorder="1"/>
    <xf numFmtId="39" fontId="5" fillId="0" borderId="16" xfId="3" applyNumberFormat="1" applyFont="1" applyBorder="1"/>
    <xf numFmtId="166" fontId="5" fillId="6" borderId="1" xfId="3" applyNumberFormat="1" applyFont="1" applyFill="1" applyBorder="1"/>
    <xf numFmtId="166" fontId="5" fillId="2" borderId="0" xfId="3" applyNumberFormat="1" applyFont="1" applyFill="1" applyBorder="1" applyProtection="1"/>
    <xf numFmtId="39" fontId="5" fillId="0" borderId="11" xfId="3" applyNumberFormat="1" applyFont="1" applyBorder="1"/>
    <xf numFmtId="39" fontId="5" fillId="0" borderId="4" xfId="3" applyNumberFormat="1" applyFont="1" applyBorder="1"/>
    <xf numFmtId="39" fontId="5" fillId="0" borderId="25" xfId="3" applyNumberFormat="1" applyFont="1" applyBorder="1"/>
    <xf numFmtId="39" fontId="5" fillId="0" borderId="12" xfId="3" applyNumberFormat="1" applyFont="1" applyBorder="1"/>
    <xf numFmtId="39" fontId="5" fillId="0" borderId="22" xfId="3" applyNumberFormat="1" applyFont="1" applyBorder="1"/>
    <xf numFmtId="39" fontId="5" fillId="0" borderId="26" xfId="3" applyNumberFormat="1" applyFont="1" applyBorder="1"/>
    <xf numFmtId="39" fontId="5" fillId="0" borderId="27" xfId="3" applyNumberFormat="1" applyFont="1" applyBorder="1"/>
    <xf numFmtId="0" fontId="6" fillId="2" borderId="13" xfId="3" applyFont="1" applyFill="1" applyBorder="1"/>
    <xf numFmtId="0" fontId="6" fillId="2" borderId="1" xfId="2" applyFont="1" applyFill="1" applyBorder="1"/>
    <xf numFmtId="0" fontId="6" fillId="2" borderId="1" xfId="2" applyNumberFormat="1" applyFont="1" applyFill="1" applyBorder="1" applyProtection="1">
      <protection locked="0"/>
    </xf>
    <xf numFmtId="0" fontId="6" fillId="2" borderId="3" xfId="2" applyFont="1" applyFill="1" applyBorder="1" applyAlignment="1">
      <alignment horizontal="center"/>
    </xf>
    <xf numFmtId="172" fontId="6" fillId="2" borderId="0" xfId="2" applyNumberFormat="1" applyFont="1" applyFill="1" applyBorder="1" applyAlignment="1" applyProtection="1">
      <alignment horizontal="center"/>
      <protection locked="0"/>
    </xf>
    <xf numFmtId="0" fontId="6" fillId="2" borderId="3" xfId="2" applyFont="1" applyFill="1" applyBorder="1" applyAlignment="1"/>
    <xf numFmtId="0" fontId="6" fillId="2" borderId="0" xfId="2" applyNumberFormat="1" applyFont="1" applyFill="1" applyBorder="1" applyAlignment="1" applyProtection="1">
      <protection locked="0"/>
    </xf>
    <xf numFmtId="0" fontId="6" fillId="2" borderId="11" xfId="2" applyFont="1" applyFill="1" applyBorder="1"/>
    <xf numFmtId="0" fontId="6" fillId="2" borderId="13" xfId="2" applyFont="1" applyFill="1" applyBorder="1" applyAlignment="1"/>
    <xf numFmtId="1" fontId="6" fillId="2" borderId="0" xfId="3" applyNumberFormat="1" applyFont="1" applyFill="1" applyBorder="1" applyAlignment="1">
      <alignment horizontal="center"/>
    </xf>
    <xf numFmtId="0" fontId="6" fillId="2" borderId="0" xfId="3" applyFont="1" applyFill="1" applyAlignment="1">
      <alignment horizontal="center"/>
    </xf>
    <xf numFmtId="39" fontId="6" fillId="2" borderId="0" xfId="1" applyNumberFormat="1" applyFont="1" applyFill="1" applyBorder="1" applyAlignment="1">
      <alignment horizontal="center" wrapText="1"/>
    </xf>
    <xf numFmtId="0" fontId="6" fillId="2" borderId="0" xfId="3" applyFont="1" applyFill="1" applyBorder="1" applyAlignment="1">
      <alignment horizontal="center"/>
    </xf>
    <xf numFmtId="0" fontId="6" fillId="2" borderId="4" xfId="2" applyFont="1" applyFill="1" applyBorder="1" applyAlignment="1">
      <alignment horizontal="center"/>
    </xf>
    <xf numFmtId="0" fontId="6" fillId="2" borderId="0" xfId="3" applyFont="1" applyFill="1" applyAlignment="1">
      <alignment horizontal="center" wrapText="1"/>
    </xf>
    <xf numFmtId="0" fontId="6" fillId="2" borderId="28" xfId="3" applyFont="1" applyFill="1" applyBorder="1" applyAlignment="1">
      <alignment horizontal="centerContinuous"/>
    </xf>
    <xf numFmtId="0" fontId="6" fillId="5" borderId="29" xfId="3" applyFont="1" applyFill="1" applyBorder="1"/>
    <xf numFmtId="0" fontId="11" fillId="4" borderId="29" xfId="3" applyFont="1" applyFill="1" applyBorder="1"/>
    <xf numFmtId="9" fontId="11" fillId="4" borderId="29" xfId="3" applyNumberFormat="1" applyFont="1" applyFill="1" applyBorder="1"/>
    <xf numFmtId="0" fontId="11" fillId="4" borderId="30" xfId="3" applyFont="1" applyFill="1" applyBorder="1"/>
    <xf numFmtId="0" fontId="6" fillId="5" borderId="13" xfId="3" applyFont="1" applyFill="1" applyBorder="1" applyAlignment="1">
      <alignment horizontal="centerContinuous"/>
    </xf>
    <xf numFmtId="9" fontId="11" fillId="4" borderId="23" xfId="3" applyNumberFormat="1" applyFont="1" applyFill="1" applyBorder="1" applyAlignment="1">
      <alignment horizontal="center"/>
    </xf>
    <xf numFmtId="0" fontId="11" fillId="4" borderId="0" xfId="3" applyFont="1" applyFill="1" applyBorder="1" applyAlignment="1">
      <alignment horizontal="center"/>
    </xf>
    <xf numFmtId="0" fontId="11" fillId="4" borderId="23" xfId="3" applyFont="1" applyFill="1" applyBorder="1" applyAlignment="1">
      <alignment horizontal="center"/>
    </xf>
    <xf numFmtId="175" fontId="7" fillId="2" borderId="1" xfId="2" applyNumberFormat="1" applyFont="1" applyFill="1" applyBorder="1" applyProtection="1">
      <protection locked="0"/>
    </xf>
    <xf numFmtId="0" fontId="7" fillId="2" borderId="1" xfId="2" applyNumberFormat="1" applyFont="1" applyFill="1" applyBorder="1" applyProtection="1">
      <protection locked="0"/>
    </xf>
    <xf numFmtId="0" fontId="6" fillId="2" borderId="3" xfId="3" applyFont="1" applyFill="1" applyBorder="1"/>
    <xf numFmtId="1" fontId="7" fillId="2" borderId="3" xfId="3" applyNumberFormat="1" applyFont="1" applyFill="1" applyBorder="1" applyProtection="1">
      <protection locked="0"/>
    </xf>
    <xf numFmtId="0" fontId="10" fillId="2" borderId="0" xfId="0" applyFont="1" applyFill="1" applyAlignment="1">
      <alignment horizontal="center" wrapText="1"/>
    </xf>
    <xf numFmtId="0" fontId="5" fillId="3" borderId="0" xfId="3" applyFont="1" applyFill="1" applyAlignment="1"/>
    <xf numFmtId="0" fontId="4" fillId="3" borderId="0" xfId="3" applyFont="1" applyFill="1"/>
    <xf numFmtId="0" fontId="6" fillId="3" borderId="15" xfId="3" applyFont="1" applyFill="1" applyBorder="1"/>
    <xf numFmtId="0" fontId="4" fillId="3" borderId="3" xfId="3" applyFont="1" applyFill="1" applyBorder="1"/>
    <xf numFmtId="0" fontId="4" fillId="3" borderId="4" xfId="3" applyFont="1" applyFill="1" applyBorder="1"/>
    <xf numFmtId="0" fontId="4" fillId="0" borderId="0" xfId="3" applyFont="1" applyFill="1"/>
    <xf numFmtId="0" fontId="11" fillId="2" borderId="5" xfId="3" applyFont="1" applyFill="1" applyBorder="1"/>
    <xf numFmtId="0" fontId="4" fillId="2" borderId="0" xfId="3" applyFont="1" applyFill="1" applyBorder="1" applyAlignment="1">
      <alignment wrapText="1"/>
    </xf>
    <xf numFmtId="0" fontId="4" fillId="0" borderId="0" xfId="3" applyFont="1"/>
    <xf numFmtId="0" fontId="4" fillId="2" borderId="5" xfId="3" applyFont="1" applyFill="1" applyBorder="1"/>
    <xf numFmtId="0" fontId="11" fillId="0" borderId="0" xfId="3" applyFont="1"/>
    <xf numFmtId="0" fontId="5" fillId="2" borderId="0" xfId="3" applyFont="1" applyFill="1" applyBorder="1"/>
    <xf numFmtId="166" fontId="4" fillId="0" borderId="0" xfId="3" applyNumberFormat="1" applyFont="1"/>
    <xf numFmtId="170" fontId="4" fillId="0" borderId="0" xfId="3" applyNumberFormat="1" applyFont="1"/>
    <xf numFmtId="0" fontId="4" fillId="2" borderId="7" xfId="3" applyFont="1" applyFill="1" applyBorder="1"/>
    <xf numFmtId="0" fontId="4" fillId="2" borderId="8" xfId="3" applyFont="1" applyFill="1" applyBorder="1"/>
    <xf numFmtId="0" fontId="4" fillId="2" borderId="9" xfId="3" applyFont="1" applyFill="1" applyBorder="1"/>
    <xf numFmtId="0" fontId="6" fillId="2" borderId="15" xfId="3" applyFont="1" applyFill="1" applyBorder="1"/>
    <xf numFmtId="0" fontId="5" fillId="2" borderId="3" xfId="3" applyFont="1" applyFill="1" applyBorder="1" applyAlignment="1">
      <alignment horizontal="right"/>
    </xf>
    <xf numFmtId="0" fontId="5" fillId="2" borderId="3" xfId="3" applyFont="1" applyFill="1" applyBorder="1"/>
    <xf numFmtId="0" fontId="6" fillId="2" borderId="5" xfId="3" applyFont="1" applyFill="1" applyBorder="1"/>
    <xf numFmtId="0" fontId="5" fillId="2" borderId="0" xfId="3" applyFont="1" applyFill="1" applyBorder="1" applyAlignment="1">
      <alignment horizontal="right"/>
    </xf>
    <xf numFmtId="0" fontId="6" fillId="2" borderId="0" xfId="3" applyFont="1" applyFill="1" applyBorder="1" applyAlignment="1">
      <alignment horizontal="right"/>
    </xf>
    <xf numFmtId="0" fontId="11" fillId="2" borderId="0" xfId="3" applyFont="1" applyFill="1" applyBorder="1" applyAlignment="1">
      <alignment horizontal="right"/>
    </xf>
    <xf numFmtId="164" fontId="4" fillId="0" borderId="0" xfId="3" applyNumberFormat="1" applyFont="1"/>
    <xf numFmtId="169" fontId="4" fillId="0" borderId="0" xfId="3" applyNumberFormat="1" applyFont="1"/>
    <xf numFmtId="0" fontId="6" fillId="2" borderId="1" xfId="3" applyFont="1" applyFill="1" applyBorder="1" applyAlignment="1">
      <alignment wrapText="1"/>
    </xf>
    <xf numFmtId="0" fontId="4" fillId="2" borderId="0" xfId="3" applyFont="1" applyFill="1" applyBorder="1" applyAlignment="1">
      <alignment horizontal="right"/>
    </xf>
    <xf numFmtId="0" fontId="4" fillId="2" borderId="13" xfId="3" applyFont="1" applyFill="1" applyBorder="1"/>
    <xf numFmtId="0" fontId="4" fillId="2" borderId="11" xfId="3" applyFont="1" applyFill="1" applyBorder="1"/>
    <xf numFmtId="0" fontId="11" fillId="2" borderId="5" xfId="3" applyFont="1" applyFill="1" applyBorder="1" applyAlignment="1">
      <alignment horizontal="left" indent="6"/>
    </xf>
    <xf numFmtId="0" fontId="4" fillId="2" borderId="0" xfId="3" applyFont="1" applyFill="1" applyBorder="1" applyAlignment="1">
      <alignment horizontal="left"/>
    </xf>
    <xf numFmtId="0" fontId="4" fillId="2" borderId="8" xfId="3" applyFont="1" applyFill="1" applyBorder="1" applyAlignment="1">
      <alignment horizontal="right"/>
    </xf>
    <xf numFmtId="0" fontId="4" fillId="2" borderId="8" xfId="3" applyFont="1" applyFill="1" applyBorder="1" applyAlignment="1">
      <alignment horizontal="left"/>
    </xf>
    <xf numFmtId="0" fontId="11" fillId="2" borderId="15" xfId="3" applyFont="1" applyFill="1" applyBorder="1"/>
    <xf numFmtId="0" fontId="4" fillId="2" borderId="3" xfId="3" applyFont="1" applyFill="1" applyBorder="1" applyAlignment="1">
      <alignment horizontal="right"/>
    </xf>
    <xf numFmtId="0" fontId="4" fillId="2" borderId="3" xfId="3" applyFont="1" applyFill="1" applyBorder="1" applyAlignment="1">
      <alignment horizontal="left"/>
    </xf>
    <xf numFmtId="167" fontId="4" fillId="0" borderId="0" xfId="3" applyNumberFormat="1" applyFont="1"/>
    <xf numFmtId="0" fontId="14" fillId="2" borderId="0" xfId="3" applyFont="1" applyFill="1" applyProtection="1">
      <protection hidden="1"/>
    </xf>
    <xf numFmtId="0" fontId="4" fillId="2" borderId="20" xfId="3" applyFont="1" applyFill="1" applyBorder="1" applyAlignment="1">
      <alignment horizontal="centerContinuous"/>
    </xf>
    <xf numFmtId="0" fontId="4" fillId="2" borderId="19" xfId="3" applyFont="1" applyFill="1" applyBorder="1" applyAlignment="1">
      <alignment horizontal="centerContinuous"/>
    </xf>
    <xf numFmtId="0" fontId="5" fillId="2" borderId="10" xfId="3" applyFont="1" applyFill="1" applyBorder="1" applyAlignment="1">
      <alignment horizontal="centerContinuous"/>
    </xf>
    <xf numFmtId="0" fontId="4" fillId="2" borderId="0" xfId="3" applyFont="1" applyFill="1" applyBorder="1" applyAlignment="1">
      <alignment horizontal="centerContinuous"/>
    </xf>
    <xf numFmtId="0" fontId="4" fillId="2" borderId="18" xfId="3" applyFont="1" applyFill="1" applyBorder="1" applyAlignment="1">
      <alignment horizontal="centerContinuous"/>
    </xf>
    <xf numFmtId="0" fontId="15" fillId="2" borderId="0" xfId="3" applyFont="1" applyFill="1"/>
    <xf numFmtId="0" fontId="5" fillId="2" borderId="3" xfId="2" applyFont="1" applyFill="1" applyBorder="1" applyAlignment="1">
      <alignment horizontal="centerContinuous"/>
    </xf>
    <xf numFmtId="43" fontId="4" fillId="2" borderId="0" xfId="3" applyNumberFormat="1" applyFont="1" applyFill="1" applyProtection="1">
      <protection hidden="1"/>
    </xf>
    <xf numFmtId="43" fontId="4" fillId="2" borderId="0" xfId="3" applyNumberFormat="1" applyFont="1" applyFill="1"/>
    <xf numFmtId="0" fontId="6" fillId="2" borderId="13" xfId="3" applyFont="1" applyFill="1" applyBorder="1" applyAlignment="1">
      <alignment horizontal="left" wrapText="1"/>
    </xf>
    <xf numFmtId="0" fontId="15" fillId="2" borderId="6" xfId="0" applyFont="1" applyFill="1" applyBorder="1" applyAlignment="1"/>
    <xf numFmtId="0" fontId="4" fillId="2" borderId="8" xfId="0" applyFont="1" applyFill="1" applyBorder="1" applyAlignment="1"/>
    <xf numFmtId="0" fontId="4" fillId="2" borderId="21" xfId="0" applyFont="1" applyFill="1" applyBorder="1" applyAlignment="1"/>
    <xf numFmtId="0" fontId="4" fillId="2" borderId="0" xfId="2" applyFont="1" applyFill="1"/>
    <xf numFmtId="0" fontId="3" fillId="2" borderId="0" xfId="2" applyFont="1" applyFill="1" applyBorder="1"/>
    <xf numFmtId="0" fontId="3" fillId="2" borderId="1" xfId="2" applyFont="1" applyFill="1" applyBorder="1"/>
    <xf numFmtId="0" fontId="4" fillId="2" borderId="1" xfId="3" applyFont="1" applyFill="1" applyBorder="1"/>
    <xf numFmtId="0" fontId="5" fillId="2" borderId="12" xfId="3" applyFont="1" applyFill="1" applyBorder="1"/>
    <xf numFmtId="0" fontId="6" fillId="2" borderId="7" xfId="3" applyFont="1" applyFill="1" applyBorder="1"/>
    <xf numFmtId="0" fontId="5" fillId="2" borderId="8" xfId="3" applyFont="1" applyFill="1" applyBorder="1"/>
    <xf numFmtId="0" fontId="5" fillId="2" borderId="9" xfId="3" applyFont="1" applyFill="1" applyBorder="1"/>
    <xf numFmtId="167" fontId="4" fillId="2" borderId="0" xfId="3" applyNumberFormat="1" applyFont="1" applyFill="1"/>
    <xf numFmtId="0" fontId="5" fillId="2" borderId="11" xfId="3" applyFont="1" applyFill="1" applyBorder="1"/>
    <xf numFmtId="172" fontId="7" fillId="2" borderId="0" xfId="2" applyNumberFormat="1" applyFont="1" applyFill="1" applyBorder="1"/>
    <xf numFmtId="0" fontId="6" fillId="2" borderId="0" xfId="0" applyFont="1" applyFill="1" applyAlignment="1">
      <alignment vertical="top"/>
    </xf>
    <xf numFmtId="0" fontId="11" fillId="2" borderId="0" xfId="0" applyFont="1" applyFill="1"/>
    <xf numFmtId="0" fontId="4" fillId="2" borderId="0" xfId="0" applyFont="1" applyFill="1"/>
    <xf numFmtId="0" fontId="6" fillId="2" borderId="0" xfId="0" applyFont="1" applyFill="1"/>
    <xf numFmtId="0" fontId="11" fillId="2" borderId="3" xfId="0" applyFont="1" applyFill="1" applyBorder="1" applyAlignment="1">
      <alignment horizontal="centerContinuous"/>
    </xf>
    <xf numFmtId="0" fontId="4" fillId="2" borderId="3" xfId="3" applyFont="1" applyFill="1" applyBorder="1" applyAlignment="1">
      <alignment horizontal="centerContinuous"/>
    </xf>
    <xf numFmtId="0" fontId="11" fillId="2" borderId="0" xfId="0" applyFont="1" applyFill="1" applyBorder="1" applyAlignment="1">
      <alignment horizontal="centerContinuous"/>
    </xf>
    <xf numFmtId="0" fontId="4" fillId="2" borderId="8" xfId="3" applyFont="1" applyFill="1" applyBorder="1" applyAlignment="1">
      <alignment horizontal="centerContinuous"/>
    </xf>
    <xf numFmtId="0" fontId="4" fillId="0" borderId="0" xfId="3" applyFont="1" applyFill="1" applyBorder="1"/>
    <xf numFmtId="0" fontId="4" fillId="0" borderId="0" xfId="0" applyFont="1" applyFill="1"/>
    <xf numFmtId="0" fontId="4" fillId="0" borderId="0" xfId="0" applyFont="1"/>
    <xf numFmtId="0" fontId="4" fillId="2" borderId="0" xfId="0" applyFont="1" applyFill="1" applyAlignment="1">
      <alignment wrapText="1"/>
    </xf>
    <xf numFmtId="0" fontId="4" fillId="0" borderId="0" xfId="0" applyFont="1" applyFill="1" applyAlignment="1">
      <alignment vertical="top"/>
    </xf>
    <xf numFmtId="0" fontId="4" fillId="0" borderId="0" xfId="0" applyFont="1" applyAlignment="1">
      <alignment vertical="top"/>
    </xf>
    <xf numFmtId="0" fontId="4" fillId="2" borderId="0" xfId="0" applyFont="1" applyFill="1" applyAlignment="1">
      <alignment vertical="top" wrapText="1"/>
    </xf>
    <xf numFmtId="0" fontId="17" fillId="2" borderId="8" xfId="4" applyFont="1" applyFill="1" applyBorder="1" applyAlignment="1">
      <alignment horizontal="centerContinuous"/>
    </xf>
    <xf numFmtId="0" fontId="11" fillId="2" borderId="0" xfId="0" applyFont="1" applyFill="1" applyAlignment="1">
      <alignment wrapText="1"/>
    </xf>
    <xf numFmtId="0" fontId="11" fillId="2" borderId="0" xfId="0" applyFont="1" applyFill="1" applyAlignment="1">
      <alignment vertical="top" wrapText="1"/>
    </xf>
    <xf numFmtId="0" fontId="11" fillId="2" borderId="3" xfId="0" applyFont="1" applyFill="1" applyBorder="1" applyAlignment="1">
      <alignment horizontal="center"/>
    </xf>
    <xf numFmtId="0" fontId="11" fillId="2" borderId="0" xfId="0" applyFont="1" applyFill="1" applyBorder="1" applyAlignment="1">
      <alignment horizontal="center"/>
    </xf>
    <xf numFmtId="0" fontId="17" fillId="2" borderId="8" xfId="4" applyFont="1" applyFill="1" applyBorder="1" applyAlignment="1">
      <alignment horizontal="center"/>
    </xf>
    <xf numFmtId="0" fontId="11" fillId="2" borderId="5" xfId="3" applyFont="1" applyFill="1" applyBorder="1" applyAlignment="1">
      <alignment horizontal="left" wrapText="1"/>
    </xf>
    <xf numFmtId="164" fontId="5" fillId="2" borderId="1" xfId="3" applyNumberFormat="1" applyFont="1" applyFill="1" applyBorder="1" applyProtection="1"/>
    <xf numFmtId="0" fontId="5" fillId="2" borderId="0" xfId="3" applyNumberFormat="1" applyFont="1" applyFill="1" applyBorder="1" applyAlignment="1" applyProtection="1">
      <alignment wrapText="1"/>
      <protection locked="0"/>
    </xf>
    <xf numFmtId="164" fontId="5" fillId="2" borderId="1" xfId="1" applyNumberFormat="1" applyFont="1" applyFill="1" applyBorder="1" applyProtection="1"/>
    <xf numFmtId="166" fontId="5" fillId="2" borderId="1" xfId="3" applyNumberFormat="1" applyFont="1" applyFill="1" applyBorder="1" applyProtection="1"/>
    <xf numFmtId="0" fontId="5" fillId="2" borderId="15" xfId="3" applyFont="1" applyFill="1" applyBorder="1"/>
    <xf numFmtId="37" fontId="5" fillId="2" borderId="1" xfId="2" applyNumberFormat="1" applyFont="1" applyFill="1" applyBorder="1" applyProtection="1"/>
    <xf numFmtId="37" fontId="5" fillId="2" borderId="23" xfId="2" applyNumberFormat="1" applyFont="1" applyFill="1" applyBorder="1" applyProtection="1"/>
    <xf numFmtId="164" fontId="5" fillId="2" borderId="23" xfId="3" applyNumberFormat="1" applyFont="1" applyFill="1" applyBorder="1" applyProtection="1"/>
    <xf numFmtId="167" fontId="5" fillId="2" borderId="1" xfId="3" applyNumberFormat="1" applyFont="1" applyFill="1" applyBorder="1" applyProtection="1"/>
    <xf numFmtId="4" fontId="5" fillId="2" borderId="21" xfId="2" applyNumberFormat="1" applyFont="1" applyFill="1" applyBorder="1" applyProtection="1"/>
    <xf numFmtId="173" fontId="5" fillId="2" borderId="1" xfId="3" applyNumberFormat="1" applyFont="1" applyFill="1" applyBorder="1" applyProtection="1"/>
    <xf numFmtId="166" fontId="5" fillId="2" borderId="1" xfId="1" applyNumberFormat="1" applyFont="1" applyFill="1" applyBorder="1" applyProtection="1"/>
    <xf numFmtId="164" fontId="5" fillId="2" borderId="13" xfId="3" applyNumberFormat="1" applyFont="1" applyFill="1" applyBorder="1" applyProtection="1"/>
    <xf numFmtId="0" fontId="5" fillId="2" borderId="0" xfId="2" applyFont="1" applyFill="1" applyBorder="1"/>
    <xf numFmtId="168" fontId="5" fillId="2" borderId="1" xfId="1" applyNumberFormat="1" applyFont="1" applyFill="1" applyBorder="1" applyProtection="1"/>
    <xf numFmtId="168" fontId="5" fillId="2" borderId="1" xfId="3" applyNumberFormat="1" applyFont="1" applyFill="1" applyBorder="1"/>
    <xf numFmtId="168" fontId="5" fillId="2" borderId="1" xfId="3" applyNumberFormat="1" applyFont="1" applyFill="1" applyBorder="1" applyProtection="1"/>
    <xf numFmtId="168" fontId="5" fillId="2" borderId="21" xfId="3" applyNumberFormat="1" applyFont="1" applyFill="1" applyBorder="1" applyProtection="1"/>
    <xf numFmtId="0" fontId="8" fillId="3" borderId="0" xfId="3" applyFont="1" applyFill="1" applyAlignment="1">
      <alignment horizontal="left"/>
    </xf>
    <xf numFmtId="0" fontId="18" fillId="2" borderId="13" xfId="3" applyNumberFormat="1" applyFont="1" applyFill="1" applyBorder="1" applyAlignment="1" applyProtection="1">
      <alignment horizontal="left" wrapText="1"/>
      <protection locked="0"/>
    </xf>
    <xf numFmtId="0" fontId="13" fillId="2" borderId="11" xfId="0" applyFont="1" applyFill="1" applyBorder="1" applyAlignment="1">
      <alignment horizontal="left"/>
    </xf>
    <xf numFmtId="0" fontId="4" fillId="2" borderId="0" xfId="3" applyFont="1" applyFill="1" applyAlignment="1"/>
    <xf numFmtId="0" fontId="4" fillId="0" borderId="0" xfId="3" applyFont="1" applyAlignment="1"/>
    <xf numFmtId="0" fontId="11" fillId="2" borderId="0" xfId="3" applyFont="1" applyFill="1" applyAlignment="1"/>
    <xf numFmtId="0" fontId="18" fillId="2" borderId="0" xfId="3" applyNumberFormat="1" applyFont="1" applyFill="1" applyBorder="1" applyAlignment="1" applyProtection="1">
      <alignment horizontal="left"/>
      <protection locked="0"/>
    </xf>
    <xf numFmtId="0" fontId="11" fillId="2" borderId="0" xfId="3" applyFont="1" applyFill="1"/>
    <xf numFmtId="0" fontId="12" fillId="3" borderId="0" xfId="3" applyFont="1" applyFill="1" applyAlignment="1">
      <alignment horizontal="left"/>
    </xf>
    <xf numFmtId="0" fontId="5" fillId="0" borderId="0" xfId="0" applyFont="1" applyAlignment="1">
      <alignment vertical="center"/>
    </xf>
    <xf numFmtId="0" fontId="6" fillId="7" borderId="0" xfId="5" applyFont="1" applyFill="1" applyBorder="1"/>
  </cellXfs>
  <cellStyles count="6">
    <cellStyle name="Currency_BeefProd1" xfId="1" xr:uid="{00000000-0005-0000-0000-000000000000}"/>
    <cellStyle name="Hyperlink" xfId="4" builtinId="8"/>
    <cellStyle name="Normal" xfId="0" builtinId="0"/>
    <cellStyle name="Normal_calffeed" xfId="2" xr:uid="{00000000-0005-0000-0000-000002000000}"/>
    <cellStyle name="Normal_Calfpro" xfId="3" xr:uid="{00000000-0005-0000-0000-000003000000}"/>
    <cellStyle name="Normal_Corn2" xfId="5" xr:uid="{950799C4-A505-4724-BF73-13DCEDA80D62}"/>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1780186</xdr:colOff>
      <xdr:row>0</xdr:row>
      <xdr:rowOff>414564</xdr:rowOff>
    </xdr:to>
    <xdr:pic>
      <xdr:nvPicPr>
        <xdr:cNvPr id="2" name="Picture 1" descr="Ontario logo">
          <a:extLst>
            <a:ext uri="{FF2B5EF4-FFF2-40B4-BE49-F238E27FC236}">
              <a16:creationId xmlns:a16="http://schemas.microsoft.com/office/drawing/2014/main" id="{A618BCCA-6DC6-43A6-99A1-FA5E79A22211}"/>
            </a:ext>
          </a:extLst>
        </xdr:cNvPr>
        <xdr:cNvPicPr>
          <a:picLocks noChangeAspect="1"/>
        </xdr:cNvPicPr>
      </xdr:nvPicPr>
      <xdr:blipFill>
        <a:blip xmlns:r="http://schemas.openxmlformats.org/officeDocument/2006/relationships" r:embed="rId1"/>
        <a:stretch>
          <a:fillRect/>
        </a:stretch>
      </xdr:blipFill>
      <xdr:spPr>
        <a:xfrm>
          <a:off x="0" y="0"/>
          <a:ext cx="1780186" cy="4145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myops.gov.on.ca/Documents%20and%20Settings/JHandley/Local%20Settings/Temp/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mafra.gov.on.c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mafra.gov.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42"/>
  <sheetViews>
    <sheetView showGridLines="0" tabSelected="1" zoomScaleNormal="100" workbookViewId="0">
      <selection activeCell="A40" sqref="A40:XFD42"/>
    </sheetView>
  </sheetViews>
  <sheetFormatPr defaultColWidth="9.1796875" defaultRowHeight="15.5" x14ac:dyDescent="0.35"/>
  <cols>
    <col min="1" max="1" width="108.54296875" style="170" customWidth="1"/>
    <col min="2" max="4" width="9.1796875" style="169"/>
    <col min="5" max="16384" width="9.1796875" style="170"/>
  </cols>
  <sheetData>
    <row r="1" spans="1:1" ht="36.75" customHeight="1" x14ac:dyDescent="0.35"/>
    <row r="2" spans="1:1" x14ac:dyDescent="0.35">
      <c r="A2" s="209" t="s">
        <v>149</v>
      </c>
    </row>
    <row r="3" spans="1:1" ht="20" x14ac:dyDescent="0.4">
      <c r="A3" s="96" t="s">
        <v>30</v>
      </c>
    </row>
    <row r="4" spans="1:1" x14ac:dyDescent="0.35">
      <c r="A4" s="162"/>
    </row>
    <row r="5" spans="1:1" ht="79.5" customHeight="1" x14ac:dyDescent="0.35">
      <c r="A5" s="176" t="s">
        <v>103</v>
      </c>
    </row>
    <row r="6" spans="1:1" x14ac:dyDescent="0.35">
      <c r="A6" s="171"/>
    </row>
    <row r="7" spans="1:1" ht="66" customHeight="1" x14ac:dyDescent="0.35">
      <c r="A7" s="176" t="s">
        <v>104</v>
      </c>
    </row>
    <row r="8" spans="1:1" ht="9" customHeight="1" x14ac:dyDescent="0.35">
      <c r="A8" s="171"/>
    </row>
    <row r="9" spans="1:1" ht="57" customHeight="1" x14ac:dyDescent="0.35">
      <c r="A9" s="176" t="s">
        <v>105</v>
      </c>
    </row>
    <row r="10" spans="1:1" ht="21.75" customHeight="1" x14ac:dyDescent="0.35">
      <c r="A10" s="171"/>
    </row>
    <row r="11" spans="1:1" ht="78.75" customHeight="1" x14ac:dyDescent="0.35">
      <c r="A11" s="176" t="s">
        <v>106</v>
      </c>
    </row>
    <row r="12" spans="1:1" ht="9" customHeight="1" x14ac:dyDescent="0.35">
      <c r="A12" s="162"/>
    </row>
    <row r="13" spans="1:1" ht="115.5" customHeight="1" x14ac:dyDescent="0.35">
      <c r="A13" s="176" t="s">
        <v>107</v>
      </c>
    </row>
    <row r="14" spans="1:1" ht="16.5" customHeight="1" x14ac:dyDescent="0.35">
      <c r="A14" s="171"/>
    </row>
    <row r="15" spans="1:1" ht="51" customHeight="1" x14ac:dyDescent="0.35">
      <c r="A15" s="176" t="s">
        <v>108</v>
      </c>
    </row>
    <row r="16" spans="1:1" ht="9.75" customHeight="1" x14ac:dyDescent="0.35">
      <c r="A16" s="162"/>
    </row>
    <row r="17" spans="1:4" ht="49.5" customHeight="1" x14ac:dyDescent="0.35">
      <c r="A17" s="176" t="s">
        <v>109</v>
      </c>
    </row>
    <row r="18" spans="1:4" ht="9" customHeight="1" x14ac:dyDescent="0.35">
      <c r="A18" s="171"/>
    </row>
    <row r="19" spans="1:4" ht="45" customHeight="1" x14ac:dyDescent="0.35">
      <c r="A19" s="176" t="s">
        <v>110</v>
      </c>
    </row>
    <row r="20" spans="1:4" ht="9" customHeight="1" x14ac:dyDescent="0.35">
      <c r="A20" s="171"/>
    </row>
    <row r="21" spans="1:4" ht="134.25" customHeight="1" x14ac:dyDescent="0.35">
      <c r="A21" s="176" t="s">
        <v>111</v>
      </c>
    </row>
    <row r="22" spans="1:4" x14ac:dyDescent="0.35">
      <c r="A22" s="171"/>
    </row>
    <row r="23" spans="1:4" ht="179.25" customHeight="1" x14ac:dyDescent="0.35">
      <c r="A23" s="176" t="s">
        <v>112</v>
      </c>
    </row>
    <row r="24" spans="1:4" s="173" customFormat="1" ht="10.5" customHeight="1" x14ac:dyDescent="0.35">
      <c r="A24" s="162"/>
      <c r="B24" s="172"/>
      <c r="C24" s="172"/>
      <c r="D24" s="172"/>
    </row>
    <row r="25" spans="1:4" ht="139.5" customHeight="1" x14ac:dyDescent="0.35">
      <c r="A25" s="176" t="s">
        <v>140</v>
      </c>
    </row>
    <row r="26" spans="1:4" ht="9" customHeight="1" x14ac:dyDescent="0.35">
      <c r="A26" s="171"/>
    </row>
    <row r="27" spans="1:4" ht="112.5" customHeight="1" x14ac:dyDescent="0.35">
      <c r="A27" s="176" t="s">
        <v>141</v>
      </c>
    </row>
    <row r="28" spans="1:4" x14ac:dyDescent="0.35">
      <c r="A28" s="162"/>
    </row>
    <row r="29" spans="1:4" ht="28.5" customHeight="1" x14ac:dyDescent="0.35">
      <c r="A29" s="177" t="s">
        <v>31</v>
      </c>
    </row>
    <row r="30" spans="1:4" ht="8.25" customHeight="1" x14ac:dyDescent="0.35">
      <c r="A30" s="174"/>
    </row>
    <row r="31" spans="1:4" x14ac:dyDescent="0.35">
      <c r="A31" s="160" t="s">
        <v>32</v>
      </c>
    </row>
    <row r="32" spans="1:4" x14ac:dyDescent="0.35">
      <c r="A32" s="161" t="s">
        <v>33</v>
      </c>
    </row>
    <row r="33" spans="1:1" x14ac:dyDescent="0.35">
      <c r="A33" s="161" t="s">
        <v>34</v>
      </c>
    </row>
    <row r="34" spans="1:1" x14ac:dyDescent="0.35">
      <c r="A34" s="161" t="s">
        <v>35</v>
      </c>
    </row>
    <row r="35" spans="1:1" x14ac:dyDescent="0.35">
      <c r="A35" s="162"/>
    </row>
    <row r="36" spans="1:1" x14ac:dyDescent="0.35">
      <c r="A36" s="163" t="s">
        <v>101</v>
      </c>
    </row>
    <row r="37" spans="1:1" x14ac:dyDescent="0.35">
      <c r="A37" s="178" t="s">
        <v>102</v>
      </c>
    </row>
    <row r="38" spans="1:1" x14ac:dyDescent="0.35">
      <c r="A38" s="179" t="s">
        <v>36</v>
      </c>
    </row>
    <row r="39" spans="1:1" x14ac:dyDescent="0.35">
      <c r="A39" s="179" t="s">
        <v>29</v>
      </c>
    </row>
    <row r="40" spans="1:1" x14ac:dyDescent="0.35">
      <c r="A40" s="180" t="s">
        <v>142</v>
      </c>
    </row>
    <row r="42" spans="1:1" x14ac:dyDescent="0.35">
      <c r="A42" s="210" t="s">
        <v>151</v>
      </c>
    </row>
  </sheetData>
  <phoneticPr fontId="9" type="noConversion"/>
  <hyperlinks>
    <hyperlink ref="A40" r:id="rId1" xr:uid="{63D4144F-C1EB-4108-840A-9E78A92FD068}"/>
  </hyperlinks>
  <pageMargins left="0.75" right="0.75" top="0.62" bottom="0.74" header="0.5" footer="0.5"/>
  <pageSetup scale="103" orientation="portrait" blackAndWhite="1" r:id="rId2"/>
  <headerFooter alignWithMargins="0"/>
  <rowBreaks count="1" manualBreakCount="1">
    <brk id="20"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F86"/>
  <sheetViews>
    <sheetView showGridLines="0" zoomScaleNormal="100" workbookViewId="0">
      <selection activeCell="A3" sqref="A3"/>
    </sheetView>
  </sheetViews>
  <sheetFormatPr defaultColWidth="10.26953125" defaultRowHeight="15.5" x14ac:dyDescent="0.35"/>
  <cols>
    <col min="1" max="1" width="50.1796875" style="105" customWidth="1"/>
    <col min="2" max="2" width="14.26953125" style="105" customWidth="1"/>
    <col min="3" max="3" width="1.54296875" style="105" customWidth="1"/>
    <col min="4" max="4" width="47.54296875" style="105" customWidth="1"/>
    <col min="5" max="5" width="15.7265625" style="105" customWidth="1"/>
    <col min="6" max="6" width="19.1796875" style="105" customWidth="1"/>
    <col min="7" max="7" width="11.26953125" style="105" customWidth="1"/>
    <col min="8" max="9" width="4.1796875" style="105" customWidth="1"/>
    <col min="10" max="10" width="4" style="105" customWidth="1"/>
    <col min="11" max="11" width="43.81640625" style="105" customWidth="1"/>
    <col min="12" max="12" width="19.7265625" style="105" customWidth="1"/>
    <col min="13" max="13" width="6.453125" style="105" customWidth="1"/>
    <col min="14" max="14" width="18.54296875" style="105" customWidth="1"/>
    <col min="15" max="15" width="15.54296875" style="105" customWidth="1"/>
    <col min="16" max="16" width="18.81640625" style="105" customWidth="1"/>
    <col min="17" max="17" width="14.81640625" style="105" customWidth="1"/>
    <col min="18" max="18" width="17.7265625" style="105" customWidth="1"/>
    <col min="19" max="19" width="4.54296875" style="105" customWidth="1"/>
    <col min="20" max="25" width="10.26953125" style="105" customWidth="1"/>
    <col min="26" max="32" width="10.26953125" style="105" hidden="1" customWidth="1"/>
    <col min="33" max="16384" width="10.26953125" style="105"/>
  </cols>
  <sheetData>
    <row r="1" spans="1:32" x14ac:dyDescent="0.35">
      <c r="A1" s="209" t="s">
        <v>149</v>
      </c>
    </row>
    <row r="2" spans="1:32" s="102" customFormat="1" ht="26.25" customHeight="1" x14ac:dyDescent="0.5">
      <c r="A2" s="208" t="s">
        <v>94</v>
      </c>
      <c r="B2" s="200"/>
      <c r="C2" s="200"/>
      <c r="D2" s="200"/>
      <c r="E2" s="200"/>
      <c r="F2" s="200"/>
      <c r="G2" s="97"/>
      <c r="H2" s="98"/>
      <c r="I2" s="98"/>
      <c r="J2" s="98"/>
      <c r="K2" s="99" t="s">
        <v>93</v>
      </c>
      <c r="L2" s="100"/>
      <c r="M2" s="100"/>
      <c r="N2" s="100"/>
      <c r="O2" s="100"/>
      <c r="P2" s="100"/>
      <c r="Q2" s="100"/>
      <c r="R2" s="100"/>
      <c r="S2" s="101"/>
    </row>
    <row r="3" spans="1:32" x14ac:dyDescent="0.35">
      <c r="A3" s="2"/>
      <c r="B3" s="2"/>
      <c r="C3" s="2"/>
      <c r="D3" s="2"/>
      <c r="E3" s="2"/>
      <c r="F3" s="3" t="s">
        <v>150</v>
      </c>
      <c r="G3" s="2"/>
      <c r="H3" s="2"/>
      <c r="I3" s="2"/>
      <c r="J3" s="2"/>
      <c r="K3" s="103" t="s">
        <v>125</v>
      </c>
      <c r="L3" s="32"/>
      <c r="M3" s="32"/>
      <c r="N3" s="104"/>
      <c r="O3" s="32"/>
      <c r="P3" s="32"/>
      <c r="Q3" s="32"/>
      <c r="R3" s="32"/>
      <c r="S3" s="23"/>
    </row>
    <row r="4" spans="1:32" x14ac:dyDescent="0.35">
      <c r="A4" s="3" t="s">
        <v>37</v>
      </c>
      <c r="B4" s="2"/>
      <c r="C4" s="2"/>
      <c r="D4" s="108" t="s">
        <v>73</v>
      </c>
      <c r="E4" s="31"/>
      <c r="F4" s="3"/>
      <c r="G4" s="2"/>
      <c r="H4" s="2"/>
      <c r="I4" s="2"/>
      <c r="J4" s="2"/>
      <c r="K4" s="103" t="s">
        <v>126</v>
      </c>
      <c r="L4" s="32"/>
      <c r="M4" s="32"/>
      <c r="N4" s="32"/>
      <c r="O4" s="32"/>
      <c r="P4" s="32"/>
      <c r="Q4" s="32"/>
      <c r="R4" s="32"/>
      <c r="S4" s="23"/>
    </row>
    <row r="5" spans="1:32" x14ac:dyDescent="0.35">
      <c r="A5" s="68" t="s">
        <v>38</v>
      </c>
      <c r="B5" s="5">
        <v>95</v>
      </c>
      <c r="C5" s="2"/>
      <c r="D5" s="4" t="s">
        <v>113</v>
      </c>
      <c r="E5" s="51">
        <v>2</v>
      </c>
      <c r="F5" s="2"/>
      <c r="G5" s="2"/>
      <c r="H5" s="2"/>
      <c r="I5" s="2"/>
      <c r="J5" s="2"/>
      <c r="K5" s="103" t="s">
        <v>124</v>
      </c>
      <c r="L5" s="32"/>
      <c r="M5" s="32"/>
      <c r="N5" s="32"/>
      <c r="O5" s="32"/>
      <c r="P5" s="32"/>
      <c r="Q5" s="32"/>
      <c r="R5" s="32"/>
      <c r="S5" s="23"/>
    </row>
    <row r="6" spans="1:32" x14ac:dyDescent="0.35">
      <c r="A6" s="4" t="s">
        <v>39</v>
      </c>
      <c r="B6" s="5">
        <v>1400</v>
      </c>
      <c r="C6" s="2"/>
      <c r="D6" s="4" t="s">
        <v>74</v>
      </c>
      <c r="E6" s="19">
        <v>1400</v>
      </c>
      <c r="F6" s="2"/>
      <c r="G6" s="2"/>
      <c r="H6" s="2"/>
      <c r="I6" s="2"/>
      <c r="J6" s="2"/>
      <c r="K6" s="106"/>
      <c r="L6" s="32"/>
      <c r="M6" s="32"/>
      <c r="N6" s="32"/>
      <c r="O6" s="32"/>
      <c r="P6" s="32"/>
      <c r="Q6" s="32"/>
      <c r="R6" s="32"/>
      <c r="S6" s="23"/>
    </row>
    <row r="7" spans="1:32" x14ac:dyDescent="0.35">
      <c r="A7" s="4" t="s">
        <v>40</v>
      </c>
      <c r="B7" s="13">
        <v>210</v>
      </c>
      <c r="C7" s="2"/>
      <c r="D7" s="4" t="s">
        <v>114</v>
      </c>
      <c r="E7" s="51">
        <v>5</v>
      </c>
      <c r="F7" s="2"/>
      <c r="G7" s="2"/>
      <c r="H7" s="2"/>
      <c r="I7" s="2"/>
      <c r="J7" s="2"/>
      <c r="K7" s="103" t="s">
        <v>0</v>
      </c>
      <c r="L7" s="32"/>
      <c r="M7" s="32"/>
      <c r="N7" s="32"/>
      <c r="O7" s="32"/>
      <c r="P7" s="32"/>
      <c r="Q7" s="32"/>
      <c r="R7" s="32"/>
      <c r="S7" s="23"/>
    </row>
    <row r="8" spans="1:32" ht="18" customHeight="1" x14ac:dyDescent="0.35">
      <c r="A8" s="4" t="s">
        <v>41</v>
      </c>
      <c r="B8" s="13">
        <v>155</v>
      </c>
      <c r="C8" s="2"/>
      <c r="D8" s="4" t="s">
        <v>115</v>
      </c>
      <c r="E8" s="19">
        <v>1400</v>
      </c>
      <c r="F8" s="2"/>
      <c r="G8" s="2"/>
      <c r="H8" s="2"/>
      <c r="I8" s="2"/>
      <c r="J8" s="2"/>
      <c r="K8" s="103" t="s">
        <v>127</v>
      </c>
      <c r="L8" s="32"/>
      <c r="M8" s="32"/>
      <c r="N8" s="32"/>
      <c r="O8" s="32"/>
      <c r="P8" s="32"/>
      <c r="Q8" s="32"/>
      <c r="R8" s="32"/>
      <c r="S8" s="23"/>
      <c r="Z8" s="107" t="s">
        <v>25</v>
      </c>
      <c r="AA8" s="107" t="s">
        <v>26</v>
      </c>
      <c r="AB8" s="107" t="s">
        <v>27</v>
      </c>
      <c r="AC8" s="107" t="s">
        <v>28</v>
      </c>
    </row>
    <row r="9" spans="1:32" ht="15.75" customHeight="1" x14ac:dyDescent="0.35">
      <c r="A9" s="4" t="s">
        <v>42</v>
      </c>
      <c r="B9" s="50">
        <v>0</v>
      </c>
      <c r="C9" s="2"/>
      <c r="D9" s="108"/>
      <c r="E9" s="31"/>
      <c r="F9" s="2"/>
      <c r="G9" s="2"/>
      <c r="H9" s="2"/>
      <c r="I9" s="2"/>
      <c r="J9" s="2"/>
      <c r="K9" s="103" t="s">
        <v>128</v>
      </c>
      <c r="L9" s="32"/>
      <c r="M9" s="32"/>
      <c r="N9" s="32"/>
      <c r="O9" s="32"/>
      <c r="P9" s="32"/>
      <c r="Q9" s="32"/>
      <c r="R9" s="32"/>
      <c r="S9" s="23"/>
      <c r="Z9" s="105">
        <f>STDEV(Z14,AC14,AF14)</f>
        <v>0.1683002321382514</v>
      </c>
      <c r="AA9" s="109">
        <f>AVERAGE(Z14,AC14,AF14)</f>
        <v>1.9255266099217609</v>
      </c>
      <c r="AB9" s="109">
        <v>0.8</v>
      </c>
      <c r="AC9" s="110">
        <f>1-NORMDIST(AB9,AA9,Z9,TRUE)</f>
        <v>0.99999999998865785</v>
      </c>
    </row>
    <row r="10" spans="1:32" ht="15.75" customHeight="1" x14ac:dyDescent="0.35">
      <c r="A10" s="94"/>
      <c r="B10" s="95"/>
      <c r="C10" s="2"/>
      <c r="D10" s="108"/>
      <c r="E10" s="31"/>
      <c r="F10" s="2"/>
      <c r="G10" s="2"/>
      <c r="H10" s="2"/>
      <c r="I10" s="2"/>
      <c r="J10" s="2"/>
      <c r="K10" s="103" t="s">
        <v>129</v>
      </c>
      <c r="L10" s="32"/>
      <c r="M10" s="32"/>
      <c r="N10" s="32"/>
      <c r="O10" s="32"/>
      <c r="P10" s="32"/>
      <c r="Q10" s="32"/>
      <c r="R10" s="32"/>
      <c r="S10" s="23"/>
      <c r="AA10" s="109"/>
      <c r="AB10" s="109"/>
      <c r="AC10" s="110"/>
    </row>
    <row r="11" spans="1:32" ht="16.5" customHeight="1" x14ac:dyDescent="0.35">
      <c r="A11" s="206" t="str">
        <f>IF(B7+B8+B9&gt;(365)," Attention : Jours &gt; 365",IF(B7+B8+B9&lt;(365)," Attention : Jours &lt; 365"," "
))</f>
        <v xml:space="preserve"> </v>
      </c>
      <c r="B11" s="2"/>
      <c r="C11" s="2"/>
      <c r="D11" s="2"/>
      <c r="E11" s="144"/>
      <c r="F11" s="2"/>
      <c r="G11" s="2"/>
      <c r="H11" s="2"/>
      <c r="I11" s="2"/>
      <c r="J11" s="2"/>
      <c r="K11" s="111"/>
      <c r="L11" s="112"/>
      <c r="M11" s="112"/>
      <c r="N11" s="112"/>
      <c r="O11" s="112"/>
      <c r="P11" s="112"/>
      <c r="Q11" s="112"/>
      <c r="R11" s="112"/>
      <c r="S11" s="113"/>
    </row>
    <row r="12" spans="1:32" ht="15.75" customHeight="1" x14ac:dyDescent="0.35">
      <c r="A12" s="3" t="s">
        <v>43</v>
      </c>
      <c r="B12" s="2"/>
      <c r="C12" s="2"/>
      <c r="D12" s="3" t="s">
        <v>75</v>
      </c>
      <c r="E12" s="1"/>
      <c r="F12" s="2"/>
      <c r="G12" s="2"/>
      <c r="H12" s="2"/>
      <c r="I12" s="2"/>
      <c r="J12" s="2"/>
      <c r="K12" s="114" t="s">
        <v>137</v>
      </c>
      <c r="L12" s="35"/>
      <c r="M12" s="35"/>
      <c r="N12" s="115"/>
      <c r="O12" s="14"/>
      <c r="P12" s="116"/>
      <c r="Q12" s="116"/>
      <c r="R12" s="35"/>
      <c r="S12" s="44"/>
      <c r="AA12" s="107" t="s">
        <v>16</v>
      </c>
      <c r="AD12" s="107" t="s">
        <v>17</v>
      </c>
    </row>
    <row r="13" spans="1:32" ht="15.75" customHeight="1" thickBot="1" x14ac:dyDescent="0.4">
      <c r="A13" s="4" t="s">
        <v>44</v>
      </c>
      <c r="B13" s="10">
        <v>87</v>
      </c>
      <c r="C13" s="2"/>
      <c r="D13" s="4" t="s">
        <v>76</v>
      </c>
      <c r="E13" s="52">
        <v>5</v>
      </c>
      <c r="F13" s="2"/>
      <c r="G13" s="2"/>
      <c r="H13" s="2"/>
      <c r="I13" s="2"/>
      <c r="J13" s="2"/>
      <c r="K13" s="117" t="s">
        <v>138</v>
      </c>
      <c r="L13" s="80" t="s">
        <v>130</v>
      </c>
      <c r="M13" s="32"/>
      <c r="N13" s="32"/>
      <c r="O13" s="118"/>
      <c r="P13" s="119" t="s">
        <v>11</v>
      </c>
      <c r="Q13" s="108"/>
      <c r="R13" s="80" t="s">
        <v>14</v>
      </c>
      <c r="S13" s="23"/>
      <c r="Z13" s="107" t="s">
        <v>18</v>
      </c>
      <c r="AA13" s="107" t="s">
        <v>19</v>
      </c>
      <c r="AB13" s="107" t="s">
        <v>20</v>
      </c>
      <c r="AC13" s="107" t="s">
        <v>21</v>
      </c>
      <c r="AD13" s="107" t="s">
        <v>19</v>
      </c>
      <c r="AE13" s="107" t="s">
        <v>20</v>
      </c>
      <c r="AF13" s="107" t="s">
        <v>21</v>
      </c>
    </row>
    <row r="14" spans="1:32" ht="15.75" customHeight="1" thickBot="1" x14ac:dyDescent="0.4">
      <c r="A14" s="4" t="s">
        <v>45</v>
      </c>
      <c r="B14" s="10">
        <v>625</v>
      </c>
      <c r="C14" s="2"/>
      <c r="D14" s="4" t="s">
        <v>77</v>
      </c>
      <c r="E14" s="19">
        <v>900</v>
      </c>
      <c r="F14" s="2"/>
      <c r="G14" s="2"/>
      <c r="H14" s="2"/>
      <c r="I14" s="2"/>
      <c r="J14" s="2"/>
      <c r="K14" s="103" t="s">
        <v>1</v>
      </c>
      <c r="L14" s="56">
        <f>B15</f>
        <v>1.8</v>
      </c>
      <c r="M14" s="32"/>
      <c r="N14" s="32"/>
      <c r="O14" s="32"/>
      <c r="P14" s="32"/>
      <c r="Q14" s="120" t="s">
        <v>12</v>
      </c>
      <c r="R14" s="11">
        <v>0.1</v>
      </c>
      <c r="S14" s="23"/>
      <c r="Z14" s="109">
        <f>E53</f>
        <v>1.9255266099217607</v>
      </c>
      <c r="AA14" s="109">
        <f>(1+R14)*L14</f>
        <v>1.9800000000000002</v>
      </c>
      <c r="AB14" s="121">
        <f>B13*AA14*B14</f>
        <v>107662.50000000001</v>
      </c>
      <c r="AC14" s="122">
        <f>(AB14+$F$20+$F$21+$B$21)/(($B$13*$B$14)+($B$18*$B$19))</f>
        <v>2.0938268420600123</v>
      </c>
      <c r="AD14" s="109">
        <f>(1-R14)*L14</f>
        <v>1.62</v>
      </c>
      <c r="AE14" s="121">
        <f>B13*B14*AD14</f>
        <v>88087.5</v>
      </c>
      <c r="AF14" s="122">
        <f>(AE14+$F$20+$F$21+$B$21)/(($B$13*$B$14)+($B$18*$B$19))</f>
        <v>1.7572263777835095</v>
      </c>
    </row>
    <row r="15" spans="1:32" ht="15.75" customHeight="1" thickBot="1" x14ac:dyDescent="0.4">
      <c r="A15" s="4" t="s">
        <v>46</v>
      </c>
      <c r="B15" s="9">
        <v>1.8</v>
      </c>
      <c r="C15" s="2"/>
      <c r="D15" s="4" t="s">
        <v>97</v>
      </c>
      <c r="E15" s="52">
        <v>2</v>
      </c>
      <c r="F15" s="2"/>
      <c r="G15" s="2"/>
      <c r="H15" s="2"/>
      <c r="I15" s="2"/>
      <c r="J15" s="2"/>
      <c r="K15" s="103" t="s">
        <v>2</v>
      </c>
      <c r="L15" s="56">
        <f>E52</f>
        <v>2.1187027614290961</v>
      </c>
      <c r="M15" s="32"/>
      <c r="N15" s="32"/>
      <c r="O15" s="32"/>
      <c r="P15" s="32"/>
      <c r="Q15" s="120" t="s">
        <v>13</v>
      </c>
      <c r="R15" s="11">
        <v>0.1</v>
      </c>
      <c r="S15" s="23"/>
      <c r="AA15" s="107" t="s">
        <v>22</v>
      </c>
      <c r="AD15" s="107" t="s">
        <v>22</v>
      </c>
    </row>
    <row r="16" spans="1:32" ht="27.75" customHeight="1" x14ac:dyDescent="0.35">
      <c r="A16" s="4" t="s">
        <v>47</v>
      </c>
      <c r="B16" s="182">
        <f>B13*B14*B15</f>
        <v>97875</v>
      </c>
      <c r="C16" s="2"/>
      <c r="D16" s="123" t="s">
        <v>78</v>
      </c>
      <c r="E16" s="19">
        <v>1400</v>
      </c>
      <c r="F16" s="2"/>
      <c r="G16" s="2"/>
      <c r="H16" s="2"/>
      <c r="I16" s="2"/>
      <c r="J16" s="2"/>
      <c r="K16" s="106"/>
      <c r="L16" s="60"/>
      <c r="M16" s="32"/>
      <c r="N16" s="32"/>
      <c r="O16" s="32"/>
      <c r="P16" s="32"/>
      <c r="Q16" s="124"/>
      <c r="R16" s="15"/>
      <c r="S16" s="23"/>
      <c r="Z16" s="109">
        <f>L15</f>
        <v>2.1187027614290961</v>
      </c>
      <c r="AA16" s="122">
        <f>L15*(1+R15)</f>
        <v>2.3305730375720057</v>
      </c>
      <c r="AD16" s="109">
        <f>(1-R15)*L15</f>
        <v>1.9068324852861864</v>
      </c>
    </row>
    <row r="17" spans="1:28" ht="16.5" customHeight="1" x14ac:dyDescent="0.35">
      <c r="A17" s="125"/>
      <c r="B17" s="126"/>
      <c r="C17" s="2"/>
      <c r="D17" s="108"/>
      <c r="E17" s="31"/>
      <c r="F17" s="2"/>
      <c r="G17" s="2"/>
      <c r="H17" s="2"/>
      <c r="I17" s="2"/>
      <c r="J17" s="2"/>
      <c r="K17" s="127" t="s">
        <v>135</v>
      </c>
      <c r="L17" s="32"/>
      <c r="M17" s="32"/>
      <c r="N17" s="59">
        <f>$E$54</f>
        <v>-0.19317615150733536</v>
      </c>
      <c r="O17" s="15"/>
      <c r="P17" s="128"/>
      <c r="Q17" s="16"/>
      <c r="R17" s="2"/>
      <c r="S17" s="23"/>
    </row>
    <row r="18" spans="1:28" ht="15.75" customHeight="1" x14ac:dyDescent="0.35">
      <c r="A18" s="4" t="s">
        <v>48</v>
      </c>
      <c r="B18" s="10">
        <v>7</v>
      </c>
      <c r="C18" s="2"/>
      <c r="D18" s="183" t="s">
        <v>79</v>
      </c>
      <c r="E18" s="77" t="s">
        <v>91</v>
      </c>
      <c r="F18" s="80" t="s">
        <v>96</v>
      </c>
      <c r="G18" s="2"/>
      <c r="H18" s="2"/>
      <c r="I18" s="2"/>
      <c r="J18" s="2"/>
      <c r="K18" s="111"/>
      <c r="L18" s="17"/>
      <c r="M18" s="112"/>
      <c r="N18" s="129"/>
      <c r="O18" s="18"/>
      <c r="P18" s="130"/>
      <c r="Q18" s="17"/>
      <c r="R18" s="32"/>
      <c r="S18" s="113"/>
    </row>
    <row r="19" spans="1:28" ht="15.75" customHeight="1" x14ac:dyDescent="0.35">
      <c r="A19" s="4" t="s">
        <v>49</v>
      </c>
      <c r="B19" s="10">
        <v>540</v>
      </c>
      <c r="C19" s="2"/>
      <c r="D19" s="4" t="s">
        <v>80</v>
      </c>
      <c r="E19" s="182">
        <f>B16/B5</f>
        <v>1030.2631578947369</v>
      </c>
      <c r="F19" s="182">
        <f>B16</f>
        <v>97875</v>
      </c>
      <c r="G19" s="2"/>
      <c r="H19" s="2"/>
      <c r="I19" s="2"/>
      <c r="J19" s="2"/>
      <c r="K19" s="131" t="s">
        <v>3</v>
      </c>
      <c r="L19" s="20"/>
      <c r="M19" s="35"/>
      <c r="N19" s="132"/>
      <c r="O19" s="21"/>
      <c r="P19" s="133"/>
      <c r="Q19" s="20"/>
      <c r="R19" s="35"/>
      <c r="S19" s="44"/>
      <c r="AA19" s="134">
        <f>(((B18*B19)+(B13*B14))/B5)*B15</f>
        <v>1101.8842105263159</v>
      </c>
      <c r="AB19" s="107" t="s">
        <v>23</v>
      </c>
    </row>
    <row r="20" spans="1:28" x14ac:dyDescent="0.35">
      <c r="A20" s="4" t="s">
        <v>50</v>
      </c>
      <c r="B20" s="9">
        <v>1.8</v>
      </c>
      <c r="C20" s="2"/>
      <c r="D20" s="4" t="s">
        <v>81</v>
      </c>
      <c r="E20" s="182">
        <f>(E14*E13)/B5</f>
        <v>47.368421052631582</v>
      </c>
      <c r="F20" s="182">
        <f>E14*E13</f>
        <v>4500</v>
      </c>
      <c r="G20" s="2"/>
      <c r="H20" s="2"/>
      <c r="I20" s="2"/>
      <c r="J20" s="2"/>
      <c r="K20" s="103" t="s">
        <v>132</v>
      </c>
      <c r="L20" s="16"/>
      <c r="M20" s="32"/>
      <c r="N20" s="124"/>
      <c r="O20" s="15"/>
      <c r="P20" s="128"/>
      <c r="Q20" s="16"/>
      <c r="R20" s="32"/>
      <c r="S20" s="23"/>
      <c r="AA20" s="134">
        <f>E33/AA19</f>
        <v>1.177057089682831</v>
      </c>
      <c r="AB20" s="107" t="s">
        <v>24</v>
      </c>
    </row>
    <row r="21" spans="1:28" x14ac:dyDescent="0.35">
      <c r="A21" s="4" t="s">
        <v>51</v>
      </c>
      <c r="B21" s="182">
        <f>B18*B19*B20</f>
        <v>6804</v>
      </c>
      <c r="C21" s="2"/>
      <c r="D21" s="4" t="s">
        <v>82</v>
      </c>
      <c r="E21" s="182">
        <f>F21/B5</f>
        <v>29.473684210526315</v>
      </c>
      <c r="F21" s="182">
        <f>E15*E16</f>
        <v>2800</v>
      </c>
      <c r="G21" s="2"/>
      <c r="H21" s="2"/>
      <c r="I21" s="2"/>
      <c r="J21" s="2"/>
      <c r="K21" s="103" t="s">
        <v>133</v>
      </c>
      <c r="L21" s="16"/>
      <c r="M21" s="32"/>
      <c r="N21" s="124"/>
      <c r="O21" s="15"/>
      <c r="P21" s="128"/>
      <c r="Q21" s="16"/>
      <c r="R21" s="32"/>
      <c r="S21" s="23"/>
    </row>
    <row r="22" spans="1:28" ht="15.75" customHeight="1" x14ac:dyDescent="0.35">
      <c r="A22" s="2"/>
      <c r="B22" s="135"/>
      <c r="C22" s="2"/>
      <c r="D22" s="4" t="s">
        <v>136</v>
      </c>
      <c r="E22" s="182">
        <f>SUM(E19:E21)</f>
        <v>1107.1052631578948</v>
      </c>
      <c r="F22" s="182">
        <f>SUM(F19:F21)</f>
        <v>105175</v>
      </c>
      <c r="G22" s="2"/>
      <c r="H22" s="2"/>
      <c r="I22" s="2"/>
      <c r="J22" s="2"/>
      <c r="K22" s="181" t="s">
        <v>4</v>
      </c>
      <c r="L22" s="16"/>
      <c r="M22" s="32"/>
      <c r="N22" s="124"/>
      <c r="O22" s="15"/>
      <c r="P22" s="128"/>
      <c r="Q22" s="16"/>
      <c r="R22" s="32"/>
      <c r="S22" s="23"/>
    </row>
    <row r="23" spans="1:28" ht="12" customHeight="1" x14ac:dyDescent="0.35">
      <c r="A23" s="2"/>
      <c r="B23" s="2"/>
      <c r="C23" s="2"/>
      <c r="D23" s="2"/>
      <c r="E23" s="2"/>
      <c r="F23" s="2"/>
      <c r="G23" s="2"/>
      <c r="H23" s="2"/>
      <c r="I23" s="2"/>
      <c r="J23" s="2"/>
      <c r="K23" s="106"/>
      <c r="L23" s="16"/>
      <c r="M23" s="32"/>
      <c r="N23" s="124"/>
      <c r="O23" s="15"/>
      <c r="P23" s="128"/>
      <c r="Q23" s="16"/>
      <c r="R23" s="32"/>
      <c r="S23" s="23"/>
    </row>
    <row r="24" spans="1:28" x14ac:dyDescent="0.35">
      <c r="A24" s="3" t="s">
        <v>116</v>
      </c>
      <c r="B24" s="2"/>
      <c r="C24" s="2"/>
      <c r="D24" s="3" t="s">
        <v>83</v>
      </c>
      <c r="E24" s="78" t="s">
        <v>91</v>
      </c>
      <c r="F24" s="78" t="s">
        <v>95</v>
      </c>
      <c r="G24" s="2"/>
      <c r="H24" s="2"/>
      <c r="I24" s="2"/>
      <c r="J24" s="2"/>
      <c r="K24" s="103" t="s">
        <v>5</v>
      </c>
      <c r="L24" s="16"/>
      <c r="M24" s="32"/>
      <c r="N24" s="124"/>
      <c r="O24" s="15"/>
      <c r="P24" s="128"/>
      <c r="Q24" s="16"/>
      <c r="R24" s="32"/>
      <c r="S24" s="23"/>
    </row>
    <row r="25" spans="1:28" ht="16" thickBot="1" x14ac:dyDescent="0.4">
      <c r="A25" s="4" t="s">
        <v>52</v>
      </c>
      <c r="B25" s="184">
        <f>E49</f>
        <v>870.22272727272718</v>
      </c>
      <c r="C25" s="2"/>
      <c r="D25" s="4" t="s">
        <v>84</v>
      </c>
      <c r="E25" s="184">
        <f>E47</f>
        <v>749.32272727272721</v>
      </c>
      <c r="F25" s="185">
        <f t="shared" ref="F25:F32" si="0">E25*$B$5</f>
        <v>71185.659090909088</v>
      </c>
      <c r="G25" s="2"/>
      <c r="H25" s="2"/>
      <c r="I25" s="2"/>
      <c r="J25" s="2"/>
      <c r="K25" s="103" t="s">
        <v>134</v>
      </c>
      <c r="L25" s="32"/>
      <c r="M25" s="32"/>
      <c r="N25" s="32"/>
      <c r="O25" s="32"/>
      <c r="P25" s="32"/>
      <c r="Q25" s="32"/>
      <c r="R25" s="32"/>
      <c r="S25" s="23"/>
    </row>
    <row r="26" spans="1:28" x14ac:dyDescent="0.35">
      <c r="A26" s="4"/>
      <c r="B26" s="7"/>
      <c r="C26" s="2"/>
      <c r="D26" s="4" t="s">
        <v>85</v>
      </c>
      <c r="E26" s="184">
        <f>E48</f>
        <v>120.9</v>
      </c>
      <c r="F26" s="185">
        <f t="shared" si="0"/>
        <v>11485.5</v>
      </c>
      <c r="G26" s="2"/>
      <c r="H26" s="2"/>
      <c r="I26" s="2"/>
      <c r="J26" s="2"/>
      <c r="K26" s="106"/>
      <c r="L26" s="83" t="s">
        <v>131</v>
      </c>
      <c r="M26" s="136"/>
      <c r="N26" s="136"/>
      <c r="O26" s="136"/>
      <c r="P26" s="137"/>
      <c r="Q26" s="32"/>
      <c r="R26" s="32"/>
      <c r="S26" s="23"/>
    </row>
    <row r="27" spans="1:28" x14ac:dyDescent="0.35">
      <c r="A27" s="4" t="s">
        <v>53</v>
      </c>
      <c r="B27" s="8">
        <v>80</v>
      </c>
      <c r="C27" s="2"/>
      <c r="D27" s="4" t="s">
        <v>53</v>
      </c>
      <c r="E27" s="184">
        <f>B27</f>
        <v>80</v>
      </c>
      <c r="F27" s="185">
        <f t="shared" si="0"/>
        <v>7600</v>
      </c>
      <c r="G27" s="2"/>
      <c r="H27" s="2"/>
      <c r="I27" s="2"/>
      <c r="J27" s="2"/>
      <c r="K27" s="106"/>
      <c r="L27" s="138"/>
      <c r="M27" s="139"/>
      <c r="N27" s="139"/>
      <c r="O27" s="139"/>
      <c r="P27" s="140"/>
      <c r="Q27" s="32"/>
      <c r="R27" s="32"/>
      <c r="S27" s="23"/>
    </row>
    <row r="28" spans="1:28" x14ac:dyDescent="0.35">
      <c r="A28" s="4" t="s">
        <v>54</v>
      </c>
      <c r="B28" s="8">
        <v>60</v>
      </c>
      <c r="C28" s="2"/>
      <c r="D28" s="4" t="s">
        <v>54</v>
      </c>
      <c r="E28" s="184">
        <f>B28</f>
        <v>60</v>
      </c>
      <c r="F28" s="185">
        <f t="shared" si="0"/>
        <v>5700</v>
      </c>
      <c r="G28" s="2"/>
      <c r="H28" s="2"/>
      <c r="I28" s="2"/>
      <c r="J28" s="2"/>
      <c r="K28" s="106"/>
      <c r="L28" s="45"/>
      <c r="M28" s="44"/>
      <c r="N28" s="88" t="s">
        <v>10</v>
      </c>
      <c r="O28" s="43"/>
      <c r="P28" s="42"/>
      <c r="Q28" s="32"/>
      <c r="R28" s="32"/>
      <c r="S28" s="23"/>
    </row>
    <row r="29" spans="1:28" x14ac:dyDescent="0.35">
      <c r="A29" s="4" t="s">
        <v>55</v>
      </c>
      <c r="B29" s="8">
        <v>40</v>
      </c>
      <c r="C29" s="2"/>
      <c r="D29" s="4" t="s">
        <v>55</v>
      </c>
      <c r="E29" s="184">
        <f>B29</f>
        <v>40</v>
      </c>
      <c r="F29" s="185">
        <f t="shared" si="0"/>
        <v>3800</v>
      </c>
      <c r="G29" s="2"/>
      <c r="H29" s="2"/>
      <c r="I29" s="2"/>
      <c r="J29" s="2"/>
      <c r="K29" s="106"/>
      <c r="L29" s="22"/>
      <c r="M29" s="23"/>
      <c r="N29" s="89" t="s">
        <v>9</v>
      </c>
      <c r="O29" s="90" t="s">
        <v>8</v>
      </c>
      <c r="P29" s="91" t="s">
        <v>7</v>
      </c>
      <c r="Q29" s="32"/>
      <c r="R29" s="32"/>
      <c r="S29" s="23"/>
    </row>
    <row r="30" spans="1:28" x14ac:dyDescent="0.35">
      <c r="A30" s="4" t="s">
        <v>56</v>
      </c>
      <c r="B30" s="9">
        <v>0.56000000000000005</v>
      </c>
      <c r="C30" s="2"/>
      <c r="D30" s="4" t="s">
        <v>86</v>
      </c>
      <c r="E30" s="184">
        <f>B30*B7</f>
        <v>117.60000000000001</v>
      </c>
      <c r="F30" s="185">
        <f t="shared" si="0"/>
        <v>11172</v>
      </c>
      <c r="G30" s="2"/>
      <c r="H30" s="2"/>
      <c r="I30" s="2"/>
      <c r="J30" s="2"/>
      <c r="K30" s="106"/>
      <c r="L30" s="84" t="s">
        <v>6</v>
      </c>
      <c r="M30" s="41"/>
      <c r="N30" s="46">
        <f>R15</f>
        <v>0.1</v>
      </c>
      <c r="O30" s="24"/>
      <c r="P30" s="47">
        <f>R15</f>
        <v>0.1</v>
      </c>
      <c r="Q30" s="32"/>
      <c r="R30" s="32"/>
      <c r="S30" s="23"/>
    </row>
    <row r="31" spans="1:28" ht="17.25" customHeight="1" thickBot="1" x14ac:dyDescent="0.4">
      <c r="A31" s="4" t="s">
        <v>117</v>
      </c>
      <c r="B31" s="19">
        <v>26</v>
      </c>
      <c r="C31" s="2"/>
      <c r="D31" s="4" t="s">
        <v>87</v>
      </c>
      <c r="E31" s="184">
        <f>B31</f>
        <v>26</v>
      </c>
      <c r="F31" s="185">
        <f t="shared" si="0"/>
        <v>2470</v>
      </c>
      <c r="G31" s="2"/>
      <c r="H31" s="141"/>
      <c r="I31" s="141"/>
      <c r="J31" s="2"/>
      <c r="K31" s="106"/>
      <c r="L31" s="85" t="s">
        <v>7</v>
      </c>
      <c r="M31" s="48">
        <f>R14</f>
        <v>0.1</v>
      </c>
      <c r="N31" s="61">
        <f>AC14-AD16</f>
        <v>0.18699435677382592</v>
      </c>
      <c r="O31" s="62">
        <f>AC14-Z16</f>
        <v>-2.4875919369083732E-2</v>
      </c>
      <c r="P31" s="63">
        <f>AC14-AA16</f>
        <v>-0.23674619551199338</v>
      </c>
      <c r="Q31" s="32"/>
      <c r="R31" s="32"/>
      <c r="S31" s="23"/>
    </row>
    <row r="32" spans="1:28" ht="16.5" customHeight="1" thickBot="1" x14ac:dyDescent="0.4">
      <c r="A32" s="4" t="s">
        <v>118</v>
      </c>
      <c r="B32" s="19">
        <v>700</v>
      </c>
      <c r="C32" s="2"/>
      <c r="D32" s="4" t="s">
        <v>88</v>
      </c>
      <c r="E32" s="182">
        <f>(((E8*E7)+(E5*E6))/B5)</f>
        <v>103.15789473684211</v>
      </c>
      <c r="F32" s="185">
        <f t="shared" si="0"/>
        <v>9800</v>
      </c>
      <c r="G32" s="2"/>
      <c r="H32" s="2"/>
      <c r="I32" s="2"/>
      <c r="J32" s="2"/>
      <c r="K32" s="106"/>
      <c r="L32" s="86" t="s">
        <v>8</v>
      </c>
      <c r="M32" s="25"/>
      <c r="N32" s="64">
        <f>Z14-AD16</f>
        <v>1.8694124635574294E-2</v>
      </c>
      <c r="O32" s="57">
        <f>N17</f>
        <v>-0.19317615150733536</v>
      </c>
      <c r="P32" s="58">
        <f>Z14-AA16</f>
        <v>-0.40504642765024501</v>
      </c>
      <c r="Q32" s="32"/>
      <c r="R32" s="32"/>
      <c r="S32" s="23"/>
    </row>
    <row r="33" spans="1:19" ht="16.5" customHeight="1" thickBot="1" x14ac:dyDescent="0.4">
      <c r="A33" s="2"/>
      <c r="B33" s="2"/>
      <c r="C33" s="2"/>
      <c r="D33" s="4" t="s">
        <v>98</v>
      </c>
      <c r="E33" s="184">
        <f>SUM(E25:E32)</f>
        <v>1296.9806220095693</v>
      </c>
      <c r="F33" s="185">
        <f>SUM(F25:F32)</f>
        <v>123213.15909090909</v>
      </c>
      <c r="G33" s="2"/>
      <c r="H33" s="2"/>
      <c r="I33" s="2"/>
      <c r="J33" s="2"/>
      <c r="K33" s="106"/>
      <c r="L33" s="87" t="s">
        <v>9</v>
      </c>
      <c r="M33" s="49">
        <f>R14</f>
        <v>0.1</v>
      </c>
      <c r="N33" s="65">
        <f>AF14-AD16</f>
        <v>-0.14960610750267689</v>
      </c>
      <c r="O33" s="66">
        <f>AF14-Z16</f>
        <v>-0.36147638364558654</v>
      </c>
      <c r="P33" s="67">
        <f>AF14-AA16</f>
        <v>-0.57334665978849619</v>
      </c>
      <c r="Q33" s="32"/>
      <c r="R33" s="32"/>
      <c r="S33" s="23"/>
    </row>
    <row r="34" spans="1:19" ht="18.75" customHeight="1" x14ac:dyDescent="0.35">
      <c r="A34" s="2"/>
      <c r="B34" s="2"/>
      <c r="C34" s="2"/>
      <c r="D34" s="2"/>
      <c r="E34" s="2"/>
      <c r="F34" s="2"/>
      <c r="G34" s="2"/>
      <c r="H34" s="2"/>
      <c r="I34" s="2"/>
      <c r="J34" s="2"/>
      <c r="K34" s="106"/>
      <c r="L34" s="32"/>
      <c r="M34" s="32"/>
      <c r="N34" s="32"/>
      <c r="O34" s="32"/>
      <c r="P34" s="32"/>
      <c r="Q34" s="32"/>
      <c r="R34" s="32"/>
      <c r="S34" s="23"/>
    </row>
    <row r="35" spans="1:19" x14ac:dyDescent="0.35">
      <c r="A35" s="186" t="s">
        <v>57</v>
      </c>
      <c r="B35" s="71" t="s">
        <v>15</v>
      </c>
      <c r="C35" s="35"/>
      <c r="D35" s="73" t="s">
        <v>119</v>
      </c>
      <c r="E35" s="142"/>
      <c r="F35" s="81" t="s">
        <v>120</v>
      </c>
      <c r="G35" s="2"/>
      <c r="H35" s="2"/>
      <c r="I35" s="2"/>
      <c r="J35" s="2"/>
      <c r="K35" s="106"/>
      <c r="L35" s="32"/>
      <c r="M35" s="32"/>
      <c r="N35" s="32"/>
      <c r="O35" s="32"/>
      <c r="P35" s="32"/>
      <c r="Q35" s="32"/>
      <c r="R35" s="32"/>
      <c r="S35" s="23"/>
    </row>
    <row r="36" spans="1:19" x14ac:dyDescent="0.35">
      <c r="A36" s="69" t="s">
        <v>58</v>
      </c>
      <c r="B36" s="26">
        <v>200</v>
      </c>
      <c r="C36" s="36"/>
      <c r="D36" s="27">
        <v>36</v>
      </c>
      <c r="E36" s="182">
        <f>D36*$B$7*B36/2200</f>
        <v>687.27272727272725</v>
      </c>
      <c r="F36" s="28">
        <v>90</v>
      </c>
      <c r="G36" s="143"/>
      <c r="H36" s="2"/>
      <c r="I36" s="2"/>
      <c r="J36" s="2"/>
      <c r="K36" s="111"/>
      <c r="L36" s="112"/>
      <c r="M36" s="112"/>
      <c r="N36" s="112"/>
      <c r="O36" s="112"/>
      <c r="P36" s="112"/>
      <c r="Q36" s="112"/>
      <c r="R36" s="112"/>
      <c r="S36" s="113"/>
    </row>
    <row r="37" spans="1:19" x14ac:dyDescent="0.35">
      <c r="A37" s="69" t="s">
        <v>59</v>
      </c>
      <c r="B37" s="26">
        <v>100</v>
      </c>
      <c r="C37" s="32"/>
      <c r="D37" s="27">
        <v>0</v>
      </c>
      <c r="E37" s="182">
        <f>D37*$B$7*B37/2200</f>
        <v>0</v>
      </c>
      <c r="F37" s="28">
        <v>45</v>
      </c>
      <c r="G37" s="143"/>
      <c r="H37" s="2"/>
      <c r="I37" s="2"/>
      <c r="J37" s="2"/>
    </row>
    <row r="38" spans="1:19" x14ac:dyDescent="0.35">
      <c r="A38" s="69" t="s">
        <v>60</v>
      </c>
      <c r="B38" s="26">
        <v>40</v>
      </c>
      <c r="C38" s="32"/>
      <c r="D38" s="27">
        <v>0</v>
      </c>
      <c r="E38" s="182">
        <f>D38*$B$7*B38/2200</f>
        <v>0</v>
      </c>
      <c r="F38" s="28">
        <v>35</v>
      </c>
      <c r="G38" s="143"/>
      <c r="H38" s="2"/>
      <c r="I38" s="2"/>
      <c r="J38" s="2"/>
    </row>
    <row r="39" spans="1:19" x14ac:dyDescent="0.35">
      <c r="A39" s="69" t="s">
        <v>61</v>
      </c>
      <c r="B39" s="26">
        <v>220</v>
      </c>
      <c r="C39" s="32"/>
      <c r="D39" s="27">
        <v>0</v>
      </c>
      <c r="E39" s="182">
        <f>D39*$B$7*B39/2200</f>
        <v>0</v>
      </c>
      <c r="F39" s="28">
        <v>86</v>
      </c>
      <c r="G39" s="143"/>
      <c r="H39" s="2"/>
      <c r="I39" s="2"/>
      <c r="J39" s="2"/>
    </row>
    <row r="40" spans="1:19" x14ac:dyDescent="0.35">
      <c r="A40" s="69" t="s">
        <v>62</v>
      </c>
      <c r="B40" s="26">
        <v>200</v>
      </c>
      <c r="C40" s="32"/>
      <c r="D40" s="27">
        <v>0</v>
      </c>
      <c r="E40" s="182">
        <f>D40*$B$7*B40/2200</f>
        <v>0</v>
      </c>
      <c r="F40" s="28">
        <v>90</v>
      </c>
      <c r="G40" s="143"/>
      <c r="H40" s="2"/>
      <c r="I40" s="2"/>
      <c r="J40" s="2"/>
    </row>
    <row r="41" spans="1:19" x14ac:dyDescent="0.35">
      <c r="A41" s="69" t="s">
        <v>63</v>
      </c>
      <c r="B41" s="26">
        <v>1700</v>
      </c>
      <c r="C41" s="32"/>
      <c r="D41" s="93">
        <v>0.22</v>
      </c>
      <c r="E41" s="182">
        <f>D41*($B$7+$B$8+$B$9)*B41/2200</f>
        <v>62.05</v>
      </c>
      <c r="F41" s="28">
        <v>100</v>
      </c>
      <c r="G41" s="143"/>
      <c r="H41" s="2"/>
      <c r="I41" s="2"/>
      <c r="J41" s="2"/>
    </row>
    <row r="42" spans="1:19" x14ac:dyDescent="0.35">
      <c r="A42" s="53" t="s">
        <v>139</v>
      </c>
      <c r="B42" s="26">
        <v>200</v>
      </c>
      <c r="C42" s="32"/>
      <c r="D42" s="27">
        <v>0</v>
      </c>
      <c r="E42" s="182">
        <f>D42*$B$7*B42/2200</f>
        <v>0</v>
      </c>
      <c r="F42" s="28">
        <v>90</v>
      </c>
      <c r="G42" s="143"/>
      <c r="H42" s="2"/>
      <c r="I42" s="2"/>
      <c r="J42" s="2"/>
    </row>
    <row r="43" spans="1:19" ht="15.75" customHeight="1" x14ac:dyDescent="0.35">
      <c r="A43" s="37"/>
      <c r="B43" s="72" t="s">
        <v>69</v>
      </c>
      <c r="C43" s="32"/>
      <c r="D43" s="74" t="s">
        <v>89</v>
      </c>
      <c r="E43" s="6"/>
      <c r="F43" s="38"/>
      <c r="G43" s="143"/>
      <c r="H43" s="2"/>
      <c r="I43" s="2"/>
      <c r="J43" s="2"/>
    </row>
    <row r="44" spans="1:19" ht="18.75" customHeight="1" x14ac:dyDescent="0.35">
      <c r="A44" s="70" t="s">
        <v>64</v>
      </c>
      <c r="B44" s="92">
        <v>0.78</v>
      </c>
      <c r="C44" s="32"/>
      <c r="D44" s="187">
        <f>B8</f>
        <v>155</v>
      </c>
      <c r="E44" s="182">
        <f>B44*D44</f>
        <v>120.9</v>
      </c>
      <c r="F44" s="38"/>
      <c r="G44" s="143"/>
      <c r="H44" s="2"/>
      <c r="I44" s="2"/>
      <c r="J44" s="2"/>
    </row>
    <row r="45" spans="1:19" x14ac:dyDescent="0.35">
      <c r="A45" s="69" t="s">
        <v>65</v>
      </c>
      <c r="B45" s="92">
        <v>0.2</v>
      </c>
      <c r="C45" s="39"/>
      <c r="D45" s="188">
        <f>B9</f>
        <v>0</v>
      </c>
      <c r="E45" s="189">
        <f>B45*D45</f>
        <v>0</v>
      </c>
      <c r="F45" s="40"/>
      <c r="G45" s="144"/>
      <c r="H45" s="2"/>
      <c r="I45" s="2"/>
      <c r="J45" s="2"/>
    </row>
    <row r="46" spans="1:19" x14ac:dyDescent="0.35">
      <c r="A46" s="29"/>
      <c r="B46" s="30"/>
      <c r="C46" s="39"/>
      <c r="D46" s="54"/>
      <c r="E46" s="55"/>
      <c r="F46" s="40"/>
      <c r="G46" s="144"/>
      <c r="H46" s="2"/>
      <c r="I46" s="2"/>
      <c r="J46" s="2"/>
    </row>
    <row r="47" spans="1:19" x14ac:dyDescent="0.35">
      <c r="A47" s="145" t="s">
        <v>66</v>
      </c>
      <c r="B47" s="190">
        <f>0.025*$B$6</f>
        <v>35</v>
      </c>
      <c r="C47" s="34"/>
      <c r="D47" s="75" t="s">
        <v>84</v>
      </c>
      <c r="E47" s="192">
        <f>SUM(E36:E42)</f>
        <v>749.32272727272721</v>
      </c>
      <c r="F47" s="146"/>
      <c r="G47" s="144"/>
      <c r="H47" s="2"/>
      <c r="I47" s="2"/>
      <c r="J47" s="2"/>
    </row>
    <row r="48" spans="1:19" x14ac:dyDescent="0.35">
      <c r="A48" s="33" t="s">
        <v>67</v>
      </c>
      <c r="B48" s="191">
        <f>(D36*F36/100)+(D37*F37/100)+(D38*F38/100)+(D39*F39/100)+(D40*F40/100)+(D41*F41/100)+(D42*F42/100)</f>
        <v>32.619999999999997</v>
      </c>
      <c r="C48" s="32"/>
      <c r="D48" s="76" t="s">
        <v>85</v>
      </c>
      <c r="E48" s="193">
        <f>E44+E45</f>
        <v>120.9</v>
      </c>
      <c r="F48" s="146"/>
      <c r="G48" s="144"/>
      <c r="H48" s="2"/>
      <c r="I48" s="2"/>
      <c r="J48" s="2"/>
    </row>
    <row r="49" spans="1:10" ht="18" customHeight="1" x14ac:dyDescent="0.35">
      <c r="A49" s="201" t="str">
        <f>IF(B48&gt;(0.027*B6),"Attention : Trop de MS; réviser ration"&amp;B48,IF(B48&lt;(0.021*B6),"Attention : Trop peu de MS; réviser ration"&amp;B48,
""))</f>
        <v/>
      </c>
      <c r="B49" s="202"/>
      <c r="C49" s="147"/>
      <c r="D49" s="69" t="s">
        <v>90</v>
      </c>
      <c r="E49" s="194">
        <f>SUM(E36:E42,E44:E45)</f>
        <v>870.22272727272718</v>
      </c>
      <c r="F49" s="148"/>
      <c r="G49" s="144"/>
      <c r="H49" s="2"/>
      <c r="I49" s="2"/>
      <c r="J49" s="2"/>
    </row>
    <row r="50" spans="1:10" ht="9" customHeight="1" x14ac:dyDescent="0.35">
      <c r="A50" s="149"/>
      <c r="B50" s="2"/>
      <c r="C50" s="150"/>
      <c r="D50" s="2"/>
      <c r="E50" s="2"/>
      <c r="F50" s="2"/>
      <c r="G50" s="144"/>
      <c r="H50" s="2"/>
      <c r="I50" s="2"/>
      <c r="J50" s="2"/>
    </row>
    <row r="51" spans="1:10" ht="31" x14ac:dyDescent="0.35">
      <c r="A51" s="149"/>
      <c r="B51" s="195" t="s">
        <v>70</v>
      </c>
      <c r="C51" s="150"/>
      <c r="D51" s="150"/>
      <c r="E51" s="79" t="s">
        <v>92</v>
      </c>
      <c r="F51" s="82" t="s">
        <v>80</v>
      </c>
      <c r="G51" s="144"/>
      <c r="H51" s="2"/>
      <c r="I51" s="2"/>
      <c r="J51" s="2"/>
    </row>
    <row r="52" spans="1:10" x14ac:dyDescent="0.35">
      <c r="A52" s="149"/>
      <c r="B52" s="69" t="s">
        <v>71</v>
      </c>
      <c r="C52" s="151"/>
      <c r="D52" s="152"/>
      <c r="E52" s="196">
        <f>F33/((B13*B14)+(B18*B19))</f>
        <v>2.1187027614290961</v>
      </c>
      <c r="F52" s="197">
        <f>((F33-(E7*E8)+(E7*B32)))/(B13*B14)</f>
        <v>2.2016213166144198</v>
      </c>
      <c r="G52" s="2"/>
      <c r="H52" s="2"/>
      <c r="I52" s="2"/>
      <c r="J52" s="2"/>
    </row>
    <row r="53" spans="1:10" x14ac:dyDescent="0.35">
      <c r="A53" s="2"/>
      <c r="B53" s="68" t="s">
        <v>72</v>
      </c>
      <c r="C53" s="153"/>
      <c r="D53" s="113"/>
      <c r="E53" s="198">
        <f>(F22+(B21))/((B14*B13)+(B19*B18))</f>
        <v>1.9255266099217607</v>
      </c>
      <c r="F53" s="197">
        <f>F22/(B13*B14)</f>
        <v>1.9342528735632183</v>
      </c>
      <c r="G53" s="144"/>
      <c r="H53" s="2"/>
      <c r="I53" s="2"/>
      <c r="J53" s="2"/>
    </row>
    <row r="54" spans="1:10" x14ac:dyDescent="0.35">
      <c r="A54" s="32"/>
      <c r="B54" s="154" t="s">
        <v>121</v>
      </c>
      <c r="C54" s="155"/>
      <c r="D54" s="156"/>
      <c r="E54" s="199">
        <f>E53-E52</f>
        <v>-0.19317615150733536</v>
      </c>
      <c r="F54" s="197">
        <f>F53-F52</f>
        <v>-0.26736844305120155</v>
      </c>
      <c r="G54" s="157"/>
      <c r="H54" s="2"/>
      <c r="I54" s="2"/>
      <c r="J54" s="2"/>
    </row>
    <row r="55" spans="1:10" x14ac:dyDescent="0.35">
      <c r="A55" s="2"/>
      <c r="B55" s="68" t="s">
        <v>122</v>
      </c>
      <c r="C55" s="153"/>
      <c r="D55" s="158"/>
      <c r="E55" s="198">
        <f>(E22+(B21/B5))-E33</f>
        <v>-118.25430622009549</v>
      </c>
      <c r="F55" s="197">
        <f>E22-(E33-((E7*E8)/B5)+((E7*B32)/B5))</f>
        <v>-153.03325358851657</v>
      </c>
      <c r="G55" s="2"/>
      <c r="H55" s="2"/>
      <c r="I55" s="2"/>
      <c r="J55" s="2"/>
    </row>
    <row r="56" spans="1:10" x14ac:dyDescent="0.35">
      <c r="A56" s="2"/>
      <c r="B56" s="154" t="s">
        <v>123</v>
      </c>
      <c r="C56" s="112"/>
      <c r="D56" s="113"/>
      <c r="E56" s="198">
        <f>(F22+B21)-F33</f>
        <v>-11234.159090909088</v>
      </c>
      <c r="F56" s="197">
        <f>F22-(F33-(E7*E8)+(E7*B32))</f>
        <v>-14538.159090909088</v>
      </c>
      <c r="G56" s="2"/>
      <c r="H56" s="2"/>
      <c r="I56" s="2"/>
      <c r="J56" s="2"/>
    </row>
    <row r="57" spans="1:10" x14ac:dyDescent="0.35">
      <c r="A57" s="2"/>
      <c r="B57" s="2"/>
      <c r="C57" s="2"/>
      <c r="D57" s="2"/>
      <c r="E57" s="2"/>
      <c r="F57" s="2"/>
      <c r="G57" s="2"/>
      <c r="H57" s="2"/>
      <c r="I57" s="2"/>
      <c r="J57" s="2"/>
    </row>
    <row r="58" spans="1:10" x14ac:dyDescent="0.35">
      <c r="A58" s="207" t="s">
        <v>99</v>
      </c>
      <c r="B58" s="2"/>
      <c r="C58" s="2"/>
      <c r="D58" s="2"/>
      <c r="E58" s="2"/>
      <c r="F58" s="2"/>
      <c r="G58" s="2"/>
      <c r="H58" s="2"/>
      <c r="I58" s="2"/>
      <c r="J58" s="2"/>
    </row>
    <row r="59" spans="1:10" ht="19.5" customHeight="1" x14ac:dyDescent="0.35">
      <c r="A59" s="207" t="s">
        <v>100</v>
      </c>
      <c r="B59" s="2"/>
      <c r="C59" s="2"/>
      <c r="D59" s="2"/>
      <c r="E59" s="2"/>
      <c r="F59" s="2"/>
      <c r="G59" s="2"/>
      <c r="H59" s="2"/>
      <c r="I59" s="2"/>
      <c r="J59" s="2"/>
    </row>
    <row r="60" spans="1:10" s="204" customFormat="1" x14ac:dyDescent="0.35">
      <c r="A60" s="205" t="s">
        <v>148</v>
      </c>
      <c r="B60" s="2"/>
      <c r="C60" s="2"/>
      <c r="D60" s="2"/>
      <c r="E60" s="2"/>
      <c r="F60" s="2"/>
      <c r="G60" s="203"/>
      <c r="H60" s="203"/>
      <c r="I60" s="203"/>
      <c r="J60" s="203"/>
    </row>
    <row r="61" spans="1:10" s="204" customFormat="1" x14ac:dyDescent="0.35">
      <c r="A61" s="205" t="s">
        <v>143</v>
      </c>
      <c r="B61" s="2"/>
      <c r="C61" s="2"/>
      <c r="D61" s="2"/>
      <c r="E61" s="2"/>
      <c r="F61" s="2"/>
      <c r="G61" s="203"/>
      <c r="H61" s="203"/>
      <c r="I61" s="203"/>
      <c r="J61" s="203"/>
    </row>
    <row r="62" spans="1:10" s="204" customFormat="1" x14ac:dyDescent="0.35">
      <c r="A62" s="205" t="s">
        <v>144</v>
      </c>
      <c r="B62" s="2"/>
      <c r="C62" s="2"/>
      <c r="D62" s="2"/>
      <c r="E62" s="2"/>
      <c r="F62" s="2"/>
      <c r="G62" s="203"/>
      <c r="H62" s="203"/>
      <c r="I62" s="203"/>
      <c r="J62" s="203"/>
    </row>
    <row r="63" spans="1:10" s="204" customFormat="1" x14ac:dyDescent="0.35">
      <c r="A63" s="205" t="s">
        <v>145</v>
      </c>
      <c r="B63" s="2"/>
      <c r="C63" s="2"/>
      <c r="D63" s="2"/>
      <c r="E63" s="2"/>
      <c r="F63" s="2"/>
      <c r="G63" s="203"/>
      <c r="H63" s="203"/>
      <c r="I63" s="203"/>
      <c r="J63" s="203"/>
    </row>
    <row r="64" spans="1:10" s="204" customFormat="1" x14ac:dyDescent="0.35">
      <c r="A64" s="205" t="s">
        <v>146</v>
      </c>
      <c r="B64" s="2"/>
      <c r="C64" s="2"/>
      <c r="D64" s="2"/>
      <c r="E64" s="2"/>
      <c r="F64" s="2"/>
      <c r="G64" s="203"/>
      <c r="H64" s="203"/>
      <c r="I64" s="203"/>
      <c r="J64" s="203"/>
    </row>
    <row r="65" spans="1:10" s="204" customFormat="1" x14ac:dyDescent="0.35">
      <c r="A65" s="205" t="s">
        <v>147</v>
      </c>
      <c r="B65" s="2"/>
      <c r="C65" s="2"/>
      <c r="D65" s="2"/>
      <c r="E65" s="2"/>
      <c r="F65" s="2"/>
      <c r="G65" s="203"/>
      <c r="H65" s="203"/>
      <c r="I65" s="203"/>
      <c r="J65" s="203"/>
    </row>
    <row r="66" spans="1:10" x14ac:dyDescent="0.35">
      <c r="A66" s="159" t="s">
        <v>68</v>
      </c>
      <c r="B66" s="2"/>
      <c r="C66" s="2"/>
      <c r="D66" s="2"/>
      <c r="E66" s="2"/>
      <c r="F66" s="2"/>
      <c r="G66" s="2"/>
      <c r="H66" s="2"/>
      <c r="I66" s="2"/>
      <c r="J66" s="2"/>
    </row>
    <row r="67" spans="1:10" ht="13" customHeight="1" x14ac:dyDescent="0.35">
      <c r="A67" s="2"/>
      <c r="B67" s="2"/>
      <c r="C67" s="2"/>
      <c r="D67" s="12"/>
      <c r="E67" s="2"/>
      <c r="F67" s="2"/>
      <c r="G67" s="2"/>
      <c r="H67" s="2"/>
      <c r="I67" s="2"/>
      <c r="J67" s="2"/>
    </row>
    <row r="68" spans="1:10" x14ac:dyDescent="0.35">
      <c r="A68" s="160" t="s">
        <v>32</v>
      </c>
      <c r="B68" s="2"/>
      <c r="C68" s="2"/>
      <c r="D68" s="12"/>
      <c r="E68" s="2"/>
      <c r="F68" s="2"/>
      <c r="G68" s="2"/>
      <c r="H68" s="2"/>
      <c r="I68" s="2"/>
      <c r="J68" s="2"/>
    </row>
    <row r="69" spans="1:10" x14ac:dyDescent="0.35">
      <c r="A69" s="161" t="s">
        <v>33</v>
      </c>
      <c r="B69" s="2"/>
      <c r="C69" s="2"/>
      <c r="D69" s="12"/>
      <c r="E69" s="2"/>
      <c r="F69" s="2"/>
      <c r="G69" s="2"/>
      <c r="H69" s="2"/>
      <c r="I69" s="2"/>
      <c r="J69" s="2"/>
    </row>
    <row r="70" spans="1:10" x14ac:dyDescent="0.35">
      <c r="A70" s="161" t="s">
        <v>34</v>
      </c>
      <c r="B70" s="2"/>
      <c r="C70" s="2"/>
      <c r="D70" s="12"/>
      <c r="E70" s="2"/>
      <c r="F70" s="2"/>
      <c r="G70" s="2"/>
      <c r="H70" s="2"/>
      <c r="I70" s="2"/>
      <c r="J70" s="2"/>
    </row>
    <row r="71" spans="1:10" x14ac:dyDescent="0.35">
      <c r="A71" s="161" t="s">
        <v>35</v>
      </c>
      <c r="B71" s="2"/>
      <c r="C71" s="2"/>
      <c r="D71" s="2"/>
      <c r="E71" s="2"/>
      <c r="F71" s="2"/>
      <c r="G71" s="2"/>
      <c r="H71" s="2"/>
      <c r="I71" s="2"/>
      <c r="J71" s="2"/>
    </row>
    <row r="72" spans="1:10" x14ac:dyDescent="0.35">
      <c r="A72" s="162"/>
      <c r="B72" s="2"/>
      <c r="C72" s="2"/>
      <c r="D72" s="2"/>
      <c r="E72" s="2"/>
      <c r="F72" s="2"/>
      <c r="G72" s="2"/>
      <c r="H72" s="2"/>
      <c r="I72" s="2"/>
      <c r="J72" s="2"/>
    </row>
    <row r="73" spans="1:10" x14ac:dyDescent="0.35">
      <c r="A73" s="163" t="s">
        <v>101</v>
      </c>
      <c r="B73" s="2"/>
      <c r="C73" s="2"/>
      <c r="D73" s="2"/>
      <c r="E73" s="2"/>
      <c r="F73" s="2"/>
      <c r="G73" s="2"/>
      <c r="H73" s="2"/>
      <c r="I73" s="2"/>
      <c r="J73" s="32"/>
    </row>
    <row r="74" spans="1:10" x14ac:dyDescent="0.35">
      <c r="A74" s="164" t="s">
        <v>102</v>
      </c>
      <c r="B74" s="165"/>
      <c r="C74" s="165"/>
      <c r="D74" s="165"/>
      <c r="E74" s="165"/>
      <c r="F74" s="165"/>
      <c r="G74" s="165"/>
      <c r="H74" s="165"/>
      <c r="I74" s="165"/>
      <c r="J74" s="165"/>
    </row>
    <row r="75" spans="1:10" x14ac:dyDescent="0.35">
      <c r="A75" s="166" t="s">
        <v>36</v>
      </c>
      <c r="B75" s="139"/>
      <c r="C75" s="139"/>
      <c r="D75" s="139"/>
      <c r="E75" s="139"/>
      <c r="F75" s="139"/>
      <c r="G75" s="139"/>
      <c r="H75" s="139"/>
      <c r="I75" s="139"/>
      <c r="J75" s="139"/>
    </row>
    <row r="76" spans="1:10" x14ac:dyDescent="0.35">
      <c r="A76" s="166" t="s">
        <v>29</v>
      </c>
      <c r="B76" s="139"/>
      <c r="C76" s="139"/>
      <c r="D76" s="139"/>
      <c r="E76" s="139"/>
      <c r="F76" s="139"/>
      <c r="G76" s="139"/>
      <c r="H76" s="139"/>
      <c r="I76" s="139"/>
      <c r="J76" s="139"/>
    </row>
    <row r="77" spans="1:10" x14ac:dyDescent="0.35">
      <c r="A77" s="175" t="s">
        <v>142</v>
      </c>
      <c r="B77" s="167"/>
      <c r="C77" s="167"/>
      <c r="D77" s="167"/>
      <c r="E77" s="167"/>
      <c r="F77" s="167"/>
      <c r="G77" s="167"/>
      <c r="H77" s="167"/>
      <c r="I77" s="167"/>
      <c r="J77" s="167"/>
    </row>
    <row r="78" spans="1:10" x14ac:dyDescent="0.35">
      <c r="J78" s="168"/>
    </row>
    <row r="79" spans="1:10" x14ac:dyDescent="0.35">
      <c r="A79" s="210" t="s">
        <v>151</v>
      </c>
      <c r="J79" s="168"/>
    </row>
    <row r="80" spans="1:10" x14ac:dyDescent="0.35">
      <c r="J80" s="168"/>
    </row>
    <row r="81" spans="8:10" x14ac:dyDescent="0.35">
      <c r="J81" s="168"/>
    </row>
    <row r="82" spans="8:10" x14ac:dyDescent="0.35">
      <c r="J82" s="168"/>
    </row>
    <row r="83" spans="8:10" x14ac:dyDescent="0.35">
      <c r="J83" s="168"/>
    </row>
    <row r="84" spans="8:10" x14ac:dyDescent="0.35">
      <c r="J84" s="168"/>
    </row>
    <row r="85" spans="8:10" x14ac:dyDescent="0.35">
      <c r="J85" s="168"/>
    </row>
    <row r="86" spans="8:10" x14ac:dyDescent="0.35">
      <c r="H86" s="102"/>
      <c r="I86" s="102"/>
      <c r="J86" s="168"/>
    </row>
  </sheetData>
  <phoneticPr fontId="9" type="noConversion"/>
  <conditionalFormatting sqref="R14:R16 O17:O24">
    <cfRule type="cellIs" dxfId="0" priority="1" stopIfTrue="1" operator="lessThan">
      <formula>0</formula>
    </cfRule>
  </conditionalFormatting>
  <dataValidations disablePrompts="1" xWindow="567" yWindow="399" count="2">
    <dataValidation type="decimal" operator="greaterThan" allowBlank="1" showInputMessage="1" errorTitle="Percent Range" error="The value you enter into these cells must be greater than 0." promptTitle="Percent range" prompt="The value entered in these cells must be greater than 0." sqref="R14" xr:uid="{00000000-0002-0000-0100-000000000000}">
      <formula1>0</formula1>
    </dataValidation>
    <dataValidation allowBlank="1" showInputMessage="1" promptTitle="Percent range" prompt="The value entered in these cells must be greater than 0." sqref="R15:R16" xr:uid="{00000000-0002-0000-0100-000001000000}"/>
  </dataValidations>
  <hyperlinks>
    <hyperlink ref="A77" r:id="rId1" xr:uid="{85C4CE33-C1E9-46E3-BDC6-77A8155908BF}"/>
  </hyperlinks>
  <printOptions horizontalCentered="1"/>
  <pageMargins left="0.25" right="0.25" top="0.5" bottom="0.38" header="0.4" footer="0.2"/>
  <pageSetup scale="64" orientation="portrait" blackAndWhite="1" r:id="rId2"/>
  <headerFooter alignWithMargins="0"/>
  <colBreaks count="1" manualBreakCount="1">
    <brk id="10" min="1"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Cow Calf Notes</vt:lpstr>
      <vt:lpstr>Cow Calf COP</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Dean, Brooke (OMAFRA)</cp:lastModifiedBy>
  <cp:lastPrinted>2005-06-02T21:40:48Z</cp:lastPrinted>
  <dcterms:created xsi:type="dcterms:W3CDTF">2003-10-02T13:29:11Z</dcterms:created>
  <dcterms:modified xsi:type="dcterms:W3CDTF">2020-04-30T17:18:12Z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2020-04-29T16:57:44.5804532Z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2d5b8997-e848-4b0f-bb30-421d9ca9521f</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