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mc:AlternateContent xmlns:mc="http://schemas.openxmlformats.org/markup-compatibility/2006">
    <mc:Choice Requires="x15">
      <x15ac:absPath xmlns:x15ac="http://schemas.microsoft.com/office/spreadsheetml/2010/11/ac" url="C:\Data\updatedbudgets\Program Files\Bear\BudgetFiles\Livestock\Cattle\2020\"/>
    </mc:Choice>
  </mc:AlternateContent>
  <xr:revisionPtr revIDLastSave="0" documentId="13_ncr:1_{F227C1CF-3001-43EB-9DA2-6131F987DC1D}" xr6:coauthVersionLast="41" xr6:coauthVersionMax="41" xr10:uidLastSave="{00000000-0000-0000-0000-000000000000}"/>
  <bookViews>
    <workbookView xWindow="735" yWindow="735" windowWidth="21600" windowHeight="12735" activeTab="1" xr2:uid="{00000000-000D-0000-FFFF-FFFF00000000}"/>
  </bookViews>
  <sheets>
    <sheet name="FeedNotes" sheetId="1" r:id="rId1"/>
    <sheet name="Backgrounder" sheetId="2" r:id="rId2"/>
  </sheets>
  <externalReferences>
    <externalReference r:id="rId3"/>
  </externalReferences>
  <definedNames>
    <definedName name="__123Graph_A" hidden="1">[1]Schedule!#REF!</definedName>
    <definedName name="__123Graph_LBL_A" hidden="1">[1]Schedule!#REF!</definedName>
    <definedName name="_1__123Graph_AP_I" hidden="1">[1]Schedule!#REF!</definedName>
    <definedName name="_2__123Graph_LBL_AP_I" hidden="1">[1]Schedule!#REF!</definedName>
    <definedName name="_3__123Graph_LBL_BP_I" hidden="1">[1]Schedule!#REF!</definedName>
    <definedName name="_Fill" hidden="1">[1]Schedule!#REF!</definedName>
    <definedName name="_Key1" hidden="1">#REF!</definedName>
    <definedName name="_Order1" hidden="1">255</definedName>
    <definedName name="_Parse_In" hidden="1">#REF!</definedName>
    <definedName name="_Parse_Out" hidden="1">#REF!</definedName>
    <definedName name="_Sort" hidden="1">#REF!</definedName>
    <definedName name="_Table2_In1" hidden="1">#REF!</definedName>
    <definedName name="_Table2_In2" hidden="1">#REF!</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2" i="2" l="1"/>
  <c r="G42" i="2" s="1"/>
  <c r="B23" i="2"/>
  <c r="E43" i="2"/>
  <c r="E36" i="2"/>
  <c r="E35" i="2"/>
  <c r="E34" i="2"/>
  <c r="E33" i="2"/>
  <c r="E32" i="2"/>
  <c r="E31" i="2"/>
  <c r="E30" i="2"/>
  <c r="E29" i="2"/>
  <c r="E28" i="2"/>
  <c r="E27" i="2"/>
  <c r="E12" i="2"/>
  <c r="E13" i="2"/>
  <c r="F13" i="2" s="1"/>
  <c r="E14" i="2"/>
  <c r="F14" i="2" s="1"/>
  <c r="E6" i="2"/>
  <c r="E5" i="2"/>
  <c r="AA4" i="2"/>
  <c r="AA3" i="2"/>
  <c r="H59" i="2"/>
  <c r="H58" i="2"/>
  <c r="H57" i="2"/>
  <c r="F12" i="2"/>
  <c r="E23" i="2"/>
  <c r="E15" i="2" l="1"/>
  <c r="F15" i="2" s="1"/>
  <c r="E40" i="2"/>
  <c r="E41" i="2" s="1"/>
  <c r="B11" i="2" s="1"/>
  <c r="E11" i="2" s="1"/>
  <c r="E7" i="2"/>
  <c r="E8" i="2" s="1"/>
  <c r="F8" i="2" s="1"/>
  <c r="F42" i="2"/>
  <c r="E16" i="2" l="1"/>
  <c r="E21" i="2" s="1"/>
  <c r="F11" i="2"/>
  <c r="AA5" i="2" l="1"/>
  <c r="B65" i="2" s="1"/>
  <c r="F21" i="2"/>
  <c r="E17" i="2"/>
  <c r="B62" i="2" s="1"/>
  <c r="E20" i="2"/>
  <c r="F16" i="2"/>
  <c r="F20" i="2"/>
  <c r="F17" i="2" l="1"/>
</calcChain>
</file>

<file path=xl/sharedStrings.xml><?xml version="1.0" encoding="utf-8"?>
<sst xmlns="http://schemas.openxmlformats.org/spreadsheetml/2006/main" count="105" uniqueCount="91">
  <si>
    <t>$/lb</t>
  </si>
  <si>
    <t>$/tonne</t>
  </si>
  <si>
    <t>$/acre</t>
  </si>
  <si>
    <t>ag.info@omaf.gov.on.ca</t>
  </si>
  <si>
    <t>Élaborés par :</t>
  </si>
  <si>
    <t>Dennis Martin, spécialiste des parcs d'engraissement de bovins de boucherie</t>
  </si>
  <si>
    <t>John Molenhuis, chargé de programme, analyse des activités commerciales et des coûts de production</t>
  </si>
  <si>
    <t>1 877 424-1300</t>
  </si>
  <si>
    <t>Chaque exploitant peut modifier les nombres en bleu pour refléter les données de son entreprise.</t>
  </si>
  <si>
    <t>Information sur les veaux</t>
  </si>
  <si>
    <t>Poids à la vente (lb)</t>
  </si>
  <si>
    <t>Poids à l'achat (lb)</t>
  </si>
  <si>
    <t>Durée d'engraissement (jours)</t>
  </si>
  <si>
    <t>Coût prévu du gain de poids</t>
  </si>
  <si>
    <t>Aliments ($/lb de gain)</t>
  </si>
  <si>
    <t>Santé, soins vétérin. ($/tête)</t>
  </si>
  <si>
    <t>Commerc., transport ($/tête)</t>
  </si>
  <si>
    <t>** Parcage ($/tête/jour)</t>
  </si>
  <si>
    <t>Taux d'intérêt (%)</t>
  </si>
  <si>
    <t>Prévisions relatives à la conjoncture</t>
  </si>
  <si>
    <t>Prix de vente ($/lb)</t>
  </si>
  <si>
    <t>Prix d'achat ($/lb)</t>
  </si>
  <si>
    <t>Gain total (lb)</t>
  </si>
  <si>
    <t>Besoins en aliments</t>
  </si>
  <si>
    <t>Foin</t>
  </si>
  <si>
    <t>Ensilage mi-fané</t>
  </si>
  <si>
    <t>Ensilage de maïs</t>
  </si>
  <si>
    <t>Maïs sec</t>
  </si>
  <si>
    <t>Sel et minéraux</t>
  </si>
  <si>
    <t>Criblures de maïs</t>
  </si>
  <si>
    <t>Autre</t>
  </si>
  <si>
    <t>PÂTURAGE</t>
  </si>
  <si>
    <t>Analyse des risques</t>
  </si>
  <si>
    <t>Valeurs prévues (telles qu'elles figurent ci-dessus) :</t>
  </si>
  <si>
    <t>Prix de vente prévu</t>
  </si>
  <si>
    <t>Prix d'achat prévu</t>
  </si>
  <si>
    <t>Coût total des aliments</t>
  </si>
  <si>
    <t>Coût des aliments par lb de gain de poids</t>
  </si>
  <si>
    <t>Quantité totale de MS servie (lb/tête/jour)</t>
  </si>
  <si>
    <t>Indice de consom. (en lb; base MS)</t>
  </si>
  <si>
    <t>Prix de vente</t>
  </si>
  <si>
    <t>Prix d'achat</t>
  </si>
  <si>
    <t>Marge bénéficiaire</t>
  </si>
  <si>
    <t>Aliments</t>
  </si>
  <si>
    <t>Parcage</t>
  </si>
  <si>
    <t>Intérêts</t>
  </si>
  <si>
    <t>Prix de vente au point mort</t>
  </si>
  <si>
    <t>Prix d'achat au point mort</t>
  </si>
  <si>
    <t>GMQ (lb/jour)</t>
  </si>
  <si>
    <t>lb /tête/jour</t>
  </si>
  <si>
    <t>s.o.</t>
  </si>
  <si>
    <t>% de modif. du prix de vente</t>
  </si>
  <si>
    <t>% de modif. du prix d'achat</t>
  </si>
  <si>
    <t>% de modif. du coût du gain de poids</t>
  </si>
  <si>
    <t>$/tête</t>
  </si>
  <si>
    <t>+ / - %</t>
  </si>
  <si>
    <t>MS</t>
  </si>
  <si>
    <t>MS consommée</t>
  </si>
  <si>
    <t>Effet de la modification :</t>
  </si>
  <si>
    <t>Maïs grain humide</t>
  </si>
  <si>
    <t xml:space="preserve">** Le poste Parcage comprend l'électricité, le téléphone, les taxes, les assurances, la litière, l'enlèvement du fumier, </t>
  </si>
  <si>
    <t>le logement et la réparation du matériel.</t>
  </si>
  <si>
    <t>Modifier les variables clés :</t>
  </si>
  <si>
    <t>Compl. pour bov. de bouch.</t>
  </si>
  <si>
    <t>Rendement net/tête</t>
  </si>
  <si>
    <t>Rendement net/tête avant modification des variables clés</t>
  </si>
  <si>
    <t>Rendement net/tête après modification des variables clés</t>
  </si>
  <si>
    <t>Rendement net</t>
  </si>
  <si>
    <t>Pour plus d'information, veuillez communiquer avec le :</t>
  </si>
  <si>
    <t>Centre d'information agricole</t>
  </si>
  <si>
    <t>Parcs d'engraissement - Outils de calcul des coûts de semi-finition d'un bovin, et des coûts de production d’un bovin gras à partir d’un veau ou à partir d’un bovin de court engraissement</t>
  </si>
  <si>
    <t xml:space="preserve"> $ Outil de calcul des coûts de semi-finition d’un bovin en Ontario $</t>
  </si>
  <si>
    <t>Pertes par décès</t>
  </si>
  <si>
    <t>Taux de mortalité (%)</t>
  </si>
  <si>
    <t>Prévisions relatives au gain de poids</t>
  </si>
  <si>
    <t>Nouveau prix de vente</t>
  </si>
  <si>
    <t>Nouveaux prix d'achat</t>
  </si>
  <si>
    <t>Nouv. coût du gain de poids</t>
  </si>
  <si>
    <t>Élaboré par :</t>
  </si>
  <si>
    <t>Ces programmes, qui tiennent en une page, se concentrent sur les aspects économiques de l'engraissement des bovins. Ils permettent notamment de calculer le coût total du gain de poids, l'indice de consommation et le rendement net par animal. Les coûts d'intérêt et les pertes par décès sont établis d'après une moyenne entre le prix d'achat et le prix de vente (p. ex. pour un prix d'achat de 800 $/tête et un prix de vente de 1500 $/tête, la moyenne serait de 1150 $/tête). Ces programmes permettent non seulement d'évaluer les rendements passés, mais également d'établir des prévisions. Ils permettent d'étudier divers scénarios. Il suffit de remplacer les valeurs inscrites en bleu dans les budgets des coûts de production.</t>
  </si>
  <si>
    <t xml:space="preserve">Drèches de distillerie sèches </t>
  </si>
  <si>
    <t xml:space="preserve">Les prévisions de rendement sont sujettes aux risques de fluctuations des produits et des charges d'exploitation. Plus les prix de vente sont élevés et plus les prix des </t>
  </si>
  <si>
    <t xml:space="preserve">animaux de remplacement et les coûts de production sont bas, plus le rendement net augmente. Inversement, plus les prix de vente sont bas et plus les prix des animaux de </t>
  </si>
  <si>
    <t xml:space="preserve">remplacement et les coûts de production sont élevés, plus le rendement net diminue. Les valeurs prévues que vous avez entrées ci-dessus relativement aux variables clés </t>
  </si>
  <si>
    <t xml:space="preserve">représentant les risques inhérents à la semi-finition sont affichées ci-dessous à gauche. Modifiez les variables clés indiquées dans les cellules de la colonne suivante pour </t>
  </si>
  <si>
    <t xml:space="preserve">mesurer l'influence que pourrait avoir la modification sur le rendement net. Entrez des valeurs négatives pour diminuer la valeur initiale et une valeur positive pour </t>
  </si>
  <si>
    <t>l'augmenter. Entrez zéro pour conserver telle quelle la valeur initialement prévue.</t>
  </si>
  <si>
    <t>Il s’agit d’un outil de budgétisation contenant deux feuilles pour de calcul du coût de production. Des champs à remplir sont prévus pour l’utilisateur. L’outil comporte 21 colonnes et 252 lignes.</t>
  </si>
  <si>
    <t>www.omafra.gov.on.ca</t>
  </si>
  <si>
    <t>fin de la feuille de calcul</t>
  </si>
  <si>
    <t>Révisé: janvier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</si>
</sst>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0_);_(* \(#,##0.0\);_(* &quot;-&quot;?_);_(@_)"/>
    <numFmt numFmtId="169" formatCode="_(&quot;$&quot;* #,##0_);_(&quot;$&quot;* \(#,##0\);_(&quot;$&quot;* &quot;-&quot;??_);_(@_)"/>
    <numFmt numFmtId="170" formatCode="_(&quot;$&quot;* #,##0.00_);_(&quot;$&quot;* \(#,##0.00\);_(&quot;$&quot;* &quot;-&quot;_);_(@_)"/>
    <numFmt numFmtId="171" formatCode="_(* #,##0.00_);_(* \(#,##0.00\);_(* &quot;-&quot;?_);_(@_)"/>
  </numFmts>
  <fonts count="22" x14ac:knownFonts="1">
    <font>
      <sz val="10"/>
      <name val="Arial"/>
    </font>
    <font>
      <sz val="10"/>
      <name val="Arial"/>
      <family val="2"/>
    </font>
    <font>
      <sz val="12"/>
      <name val="Times New Roman"/>
      <family val="1"/>
    </font>
    <font>
      <b/>
      <sz val="20"/>
      <name val="Arial"/>
      <family val="2"/>
    </font>
    <font>
      <b/>
      <sz val="10"/>
      <name val="Arial"/>
      <family val="2"/>
    </font>
    <font>
      <b/>
      <sz val="12"/>
      <color indexed="10"/>
      <name val="Arial"/>
      <family val="2"/>
    </font>
    <font>
      <sz val="12"/>
      <name val="Arial"/>
      <family val="2"/>
    </font>
    <font>
      <b/>
      <sz val="12"/>
      <name val="Arial"/>
      <family val="2"/>
    </font>
    <font>
      <b/>
      <sz val="12"/>
      <color indexed="8"/>
      <name val="Arial"/>
      <family val="2"/>
    </font>
    <font>
      <b/>
      <sz val="12"/>
      <color indexed="12"/>
      <name val="Arial"/>
      <family val="2"/>
    </font>
    <font>
      <sz val="12"/>
      <color indexed="10"/>
      <name val="Arial"/>
      <family val="2"/>
    </font>
    <font>
      <b/>
      <sz val="12"/>
      <color indexed="43"/>
      <name val="Arial"/>
      <family val="2"/>
    </font>
    <font>
      <sz val="8"/>
      <name val="Arial"/>
      <family val="2"/>
    </font>
    <font>
      <b/>
      <sz val="20"/>
      <color indexed="8"/>
      <name val="Arial"/>
      <family val="2"/>
    </font>
    <font>
      <sz val="10"/>
      <color indexed="8"/>
      <name val="Arial"/>
      <family val="2"/>
    </font>
    <font>
      <b/>
      <sz val="18"/>
      <color indexed="8"/>
      <name val="Arial"/>
      <family val="2"/>
    </font>
    <font>
      <b/>
      <sz val="18"/>
      <name val="Arial"/>
      <family val="2"/>
    </font>
    <font>
      <sz val="12"/>
      <color indexed="8"/>
      <name val="Arial"/>
      <family val="2"/>
    </font>
    <font>
      <u/>
      <sz val="10"/>
      <color theme="10"/>
      <name val="Arial"/>
      <family val="2"/>
    </font>
    <font>
      <u/>
      <sz val="12"/>
      <color theme="10"/>
      <name val="Arial"/>
      <family val="2"/>
    </font>
    <font>
      <sz val="10"/>
      <name val="Courier"/>
      <family val="3"/>
    </font>
    <font>
      <b/>
      <sz val="12"/>
      <color theme="1"/>
      <name val="Arial"/>
      <family val="2"/>
    </font>
  </fonts>
  <fills count="7">
    <fill>
      <patternFill patternType="none"/>
    </fill>
    <fill>
      <patternFill patternType="gray125"/>
    </fill>
    <fill>
      <patternFill patternType="solid">
        <fgColor indexed="43"/>
        <bgColor indexed="64"/>
      </patternFill>
    </fill>
    <fill>
      <patternFill patternType="solid">
        <fgColor indexed="11"/>
        <bgColor indexed="64"/>
      </patternFill>
    </fill>
    <fill>
      <patternFill patternType="solid">
        <fgColor indexed="42"/>
        <bgColor indexed="64"/>
      </patternFill>
    </fill>
    <fill>
      <patternFill patternType="solid">
        <fgColor rgb="FFFFFF99"/>
        <bgColor indexed="64"/>
      </patternFill>
    </fill>
    <fill>
      <patternFill patternType="solid">
        <fgColor indexed="9"/>
        <bgColor indexed="42"/>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12"/>
      </left>
      <right style="medium">
        <color indexed="12"/>
      </right>
      <top style="medium">
        <color indexed="12"/>
      </top>
      <bottom style="medium">
        <color indexed="12"/>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s>
  <cellStyleXfs count="6">
    <xf numFmtId="0" fontId="0" fillId="0" borderId="0"/>
    <xf numFmtId="166" fontId="2" fillId="0" borderId="0" applyFont="0" applyFill="0" applyBorder="0" applyAlignment="0" applyProtection="0"/>
    <xf numFmtId="0" fontId="1" fillId="0" borderId="0"/>
    <xf numFmtId="0" fontId="1" fillId="0" borderId="0"/>
    <xf numFmtId="0" fontId="18" fillId="0" borderId="0" applyNumberFormat="0" applyFill="0" applyBorder="0" applyAlignment="0" applyProtection="0"/>
    <xf numFmtId="0" fontId="20" fillId="0" borderId="0"/>
  </cellStyleXfs>
  <cellXfs count="107">
    <xf numFmtId="0" fontId="0" fillId="0" borderId="0" xfId="0"/>
    <xf numFmtId="0" fontId="0" fillId="2" borderId="0" xfId="0" applyFill="1" applyAlignment="1">
      <alignment wrapText="1"/>
    </xf>
    <xf numFmtId="0" fontId="0" fillId="0" borderId="0" xfId="0" applyFill="1"/>
    <xf numFmtId="0" fontId="4" fillId="0" borderId="0" xfId="0" applyFont="1" applyFill="1"/>
    <xf numFmtId="0" fontId="3" fillId="3" borderId="0" xfId="3" applyFont="1" applyFill="1" applyAlignment="1"/>
    <xf numFmtId="0" fontId="1" fillId="3" borderId="0" xfId="3" applyFill="1"/>
    <xf numFmtId="0" fontId="1" fillId="0" borderId="0" xfId="3"/>
    <xf numFmtId="0" fontId="5" fillId="2" borderId="0" xfId="3" applyFont="1" applyFill="1"/>
    <xf numFmtId="0" fontId="6" fillId="2" borderId="0" xfId="3" applyFont="1" applyFill="1"/>
    <xf numFmtId="0" fontId="8" fillId="2" borderId="1" xfId="3" applyFont="1" applyFill="1" applyBorder="1"/>
    <xf numFmtId="165" fontId="9" fillId="2" borderId="1" xfId="3" applyNumberFormat="1" applyFont="1" applyFill="1" applyBorder="1" applyProtection="1">
      <protection locked="0"/>
    </xf>
    <xf numFmtId="0" fontId="6" fillId="2" borderId="2" xfId="3" applyFont="1" applyFill="1" applyBorder="1" applyProtection="1"/>
    <xf numFmtId="0" fontId="6" fillId="2" borderId="3" xfId="3" applyFont="1" applyFill="1" applyBorder="1" applyProtection="1"/>
    <xf numFmtId="0" fontId="6" fillId="2" borderId="4" xfId="3" applyFont="1" applyFill="1" applyBorder="1" applyProtection="1"/>
    <xf numFmtId="167" fontId="9" fillId="2" borderId="1" xfId="3" applyNumberFormat="1" applyFont="1" applyFill="1" applyBorder="1" applyProtection="1">
      <protection locked="0"/>
    </xf>
    <xf numFmtId="0" fontId="8" fillId="2" borderId="0" xfId="3" applyFont="1" applyFill="1" applyBorder="1"/>
    <xf numFmtId="167" fontId="9" fillId="2" borderId="0" xfId="3" applyNumberFormat="1" applyFont="1" applyFill="1" applyBorder="1"/>
    <xf numFmtId="0" fontId="7" fillId="2" borderId="0" xfId="3" applyFont="1" applyFill="1" applyBorder="1"/>
    <xf numFmtId="164" fontId="5" fillId="2" borderId="0" xfId="3" applyNumberFormat="1" applyFont="1" applyFill="1" applyBorder="1"/>
    <xf numFmtId="166" fontId="5" fillId="2" borderId="0" xfId="3" applyNumberFormat="1" applyFont="1" applyFill="1" applyBorder="1"/>
    <xf numFmtId="0" fontId="10" fillId="2" borderId="0" xfId="3" applyFont="1" applyFill="1"/>
    <xf numFmtId="164" fontId="9" fillId="2" borderId="1" xfId="1" applyNumberFormat="1" applyFont="1" applyFill="1" applyBorder="1" applyProtection="1">
      <protection locked="0"/>
    </xf>
    <xf numFmtId="166" fontId="9" fillId="2" borderId="1" xfId="1" applyFont="1" applyFill="1" applyBorder="1" applyProtection="1">
      <protection locked="0"/>
    </xf>
    <xf numFmtId="0" fontId="9" fillId="2" borderId="1" xfId="3" applyFont="1" applyFill="1" applyBorder="1" applyProtection="1">
      <protection locked="0"/>
    </xf>
    <xf numFmtId="0" fontId="9" fillId="2" borderId="0" xfId="3" applyFont="1" applyFill="1" applyBorder="1"/>
    <xf numFmtId="37" fontId="11" fillId="2" borderId="5" xfId="1" applyNumberFormat="1" applyFont="1" applyFill="1" applyBorder="1" applyProtection="1">
      <protection locked="0" hidden="1"/>
    </xf>
    <xf numFmtId="0" fontId="6" fillId="2" borderId="0" xfId="3" applyFont="1" applyFill="1" applyProtection="1"/>
    <xf numFmtId="164" fontId="5" fillId="2" borderId="1" xfId="3" applyNumberFormat="1" applyFont="1" applyFill="1" applyBorder="1"/>
    <xf numFmtId="0" fontId="7" fillId="2" borderId="1" xfId="2" applyFont="1" applyFill="1" applyBorder="1"/>
    <xf numFmtId="0" fontId="5" fillId="2" borderId="1" xfId="2" applyFont="1" applyFill="1" applyBorder="1"/>
    <xf numFmtId="0" fontId="5" fillId="2" borderId="6" xfId="2" applyFont="1" applyFill="1" applyBorder="1"/>
    <xf numFmtId="0" fontId="5" fillId="2" borderId="7" xfId="2" applyFont="1" applyFill="1" applyBorder="1"/>
    <xf numFmtId="166" fontId="7" fillId="0" borderId="1" xfId="3" applyNumberFormat="1" applyFont="1" applyBorder="1" applyProtection="1"/>
    <xf numFmtId="9" fontId="9" fillId="2" borderId="9" xfId="3" applyNumberFormat="1" applyFont="1" applyFill="1" applyBorder="1" applyAlignment="1" applyProtection="1">
      <alignment horizontal="center"/>
      <protection locked="0"/>
    </xf>
    <xf numFmtId="164" fontId="7" fillId="2" borderId="10" xfId="3" applyNumberFormat="1" applyFont="1" applyFill="1" applyBorder="1" applyAlignment="1" applyProtection="1">
      <alignment horizontal="center"/>
    </xf>
    <xf numFmtId="164" fontId="7" fillId="2" borderId="0" xfId="3" applyNumberFormat="1" applyFont="1" applyFill="1" applyBorder="1" applyAlignment="1">
      <alignment horizontal="center"/>
    </xf>
    <xf numFmtId="164" fontId="7" fillId="2" borderId="13" xfId="3" applyNumberFormat="1" applyFont="1" applyFill="1" applyBorder="1" applyAlignment="1" applyProtection="1">
      <alignment horizontal="center"/>
    </xf>
    <xf numFmtId="0" fontId="6" fillId="2" borderId="0" xfId="3" applyFont="1" applyFill="1" applyAlignment="1">
      <alignment horizontal="right"/>
    </xf>
    <xf numFmtId="0" fontId="13" fillId="3" borderId="0" xfId="0" applyFont="1" applyFill="1" applyAlignment="1">
      <alignment horizontal="center" wrapText="1"/>
    </xf>
    <xf numFmtId="0" fontId="14" fillId="2" borderId="0" xfId="0" applyFont="1" applyFill="1"/>
    <xf numFmtId="0" fontId="8" fillId="2" borderId="0" xfId="3" applyFont="1" applyFill="1"/>
    <xf numFmtId="0" fontId="8" fillId="2" borderId="0" xfId="2" applyFont="1" applyFill="1" applyAlignment="1">
      <alignment horizontal="center"/>
    </xf>
    <xf numFmtId="0" fontId="8" fillId="2" borderId="1" xfId="2" applyFont="1" applyFill="1" applyBorder="1" applyAlignment="1">
      <alignment horizontal="center"/>
    </xf>
    <xf numFmtId="0" fontId="8" fillId="2" borderId="1" xfId="2" applyFont="1" applyFill="1" applyBorder="1"/>
    <xf numFmtId="0" fontId="8" fillId="2" borderId="0" xfId="3" applyFont="1" applyFill="1" applyAlignment="1">
      <alignment horizontal="center"/>
    </xf>
    <xf numFmtId="0" fontId="8" fillId="2" borderId="0" xfId="2" applyFont="1" applyFill="1" applyAlignment="1">
      <alignment horizontal="left"/>
    </xf>
    <xf numFmtId="169" fontId="9" fillId="2" borderId="1" xfId="2" applyNumberFormat="1" applyFont="1" applyFill="1" applyBorder="1" applyProtection="1">
      <protection locked="0"/>
    </xf>
    <xf numFmtId="0" fontId="7" fillId="2" borderId="0" xfId="3" applyFont="1" applyFill="1"/>
    <xf numFmtId="0" fontId="15" fillId="3" borderId="0" xfId="3" applyFont="1" applyFill="1" applyAlignment="1"/>
    <xf numFmtId="0" fontId="16" fillId="3" borderId="0" xfId="3" applyFont="1" applyFill="1" applyAlignment="1"/>
    <xf numFmtId="0" fontId="6" fillId="0" borderId="0" xfId="3" applyFont="1"/>
    <xf numFmtId="0" fontId="6" fillId="0" borderId="0" xfId="3" applyFont="1" applyBorder="1"/>
    <xf numFmtId="0" fontId="7" fillId="2" borderId="0" xfId="2" applyFont="1" applyFill="1" applyAlignment="1">
      <alignment horizontal="centerContinuous"/>
    </xf>
    <xf numFmtId="0" fontId="6" fillId="2" borderId="0" xfId="3" applyFont="1" applyFill="1" applyProtection="1">
      <protection locked="0"/>
    </xf>
    <xf numFmtId="168" fontId="9" fillId="2" borderId="1" xfId="2" applyNumberFormat="1" applyFont="1" applyFill="1" applyBorder="1" applyProtection="1">
      <protection locked="0"/>
    </xf>
    <xf numFmtId="9" fontId="9" fillId="2" borderId="1" xfId="2" applyNumberFormat="1" applyFont="1" applyFill="1" applyBorder="1" applyProtection="1">
      <protection locked="0"/>
    </xf>
    <xf numFmtId="43" fontId="6" fillId="2" borderId="0" xfId="3" applyNumberFormat="1" applyFont="1" applyFill="1"/>
    <xf numFmtId="171" fontId="9" fillId="2" borderId="1" xfId="2" applyNumberFormat="1" applyFont="1" applyFill="1" applyBorder="1" applyProtection="1">
      <protection locked="0"/>
    </xf>
    <xf numFmtId="3" fontId="9" fillId="2" borderId="1" xfId="2" applyNumberFormat="1" applyFont="1" applyFill="1" applyBorder="1" applyProtection="1">
      <protection locked="0"/>
    </xf>
    <xf numFmtId="0" fontId="6" fillId="2" borderId="0" xfId="2" applyFont="1" applyFill="1"/>
    <xf numFmtId="0" fontId="8" fillId="2" borderId="0" xfId="3" applyFont="1" applyFill="1" applyProtection="1"/>
    <xf numFmtId="0" fontId="8" fillId="4" borderId="0" xfId="3" applyFont="1" applyFill="1"/>
    <xf numFmtId="0" fontId="6" fillId="4" borderId="0" xfId="3" applyFont="1" applyFill="1"/>
    <xf numFmtId="0" fontId="6" fillId="4" borderId="0" xfId="3" applyFont="1" applyFill="1" applyBorder="1"/>
    <xf numFmtId="0" fontId="6" fillId="2" borderId="0" xfId="3" applyFont="1" applyFill="1" applyBorder="1"/>
    <xf numFmtId="0" fontId="8" fillId="2" borderId="0" xfId="3" applyFont="1" applyFill="1" applyAlignment="1">
      <alignment horizontal="left" indent="1"/>
    </xf>
    <xf numFmtId="0" fontId="8" fillId="2" borderId="0" xfId="3" applyFont="1" applyFill="1" applyAlignment="1">
      <alignment wrapText="1"/>
    </xf>
    <xf numFmtId="0" fontId="8" fillId="2" borderId="0" xfId="3" applyFont="1" applyFill="1" applyAlignment="1">
      <alignment horizontal="right"/>
    </xf>
    <xf numFmtId="0" fontId="17" fillId="2" borderId="0" xfId="3" applyFont="1" applyFill="1"/>
    <xf numFmtId="0" fontId="17" fillId="2" borderId="0" xfId="3" applyFont="1" applyFill="1" applyAlignment="1">
      <alignment horizontal="right"/>
    </xf>
    <xf numFmtId="0" fontId="8" fillId="2" borderId="0" xfId="3" applyFont="1" applyFill="1" applyAlignment="1">
      <alignment horizontal="center" wrapText="1"/>
    </xf>
    <xf numFmtId="0" fontId="17" fillId="2" borderId="13" xfId="3" applyFont="1" applyFill="1" applyBorder="1" applyAlignment="1">
      <alignment horizontal="left"/>
    </xf>
    <xf numFmtId="0" fontId="6" fillId="2" borderId="11" xfId="3" applyFont="1" applyFill="1" applyBorder="1"/>
    <xf numFmtId="0" fontId="6" fillId="2" borderId="12" xfId="3" applyFont="1" applyFill="1" applyBorder="1"/>
    <xf numFmtId="0" fontId="6" fillId="2" borderId="0" xfId="3" applyFont="1" applyFill="1" applyBorder="1" applyAlignment="1">
      <alignment horizontal="left"/>
    </xf>
    <xf numFmtId="0" fontId="6" fillId="2" borderId="0" xfId="3" applyFont="1" applyFill="1" applyAlignment="1">
      <alignment horizontal="center"/>
    </xf>
    <xf numFmtId="0" fontId="17" fillId="2" borderId="13" xfId="3" applyFont="1" applyFill="1" applyBorder="1"/>
    <xf numFmtId="0" fontId="6" fillId="2" borderId="14" xfId="3" applyFont="1" applyFill="1" applyBorder="1"/>
    <xf numFmtId="0" fontId="17" fillId="2" borderId="8" xfId="3" applyFont="1" applyFill="1" applyBorder="1" applyAlignment="1">
      <alignment horizontal="centerContinuous"/>
    </xf>
    <xf numFmtId="0" fontId="6" fillId="2" borderId="8" xfId="3" applyFont="1" applyFill="1" applyBorder="1" applyAlignment="1">
      <alignment horizontal="centerContinuous"/>
    </xf>
    <xf numFmtId="0" fontId="17" fillId="2" borderId="0" xfId="3" applyFont="1" applyFill="1" applyBorder="1" applyAlignment="1">
      <alignment horizontal="centerContinuous"/>
    </xf>
    <xf numFmtId="0" fontId="6" fillId="2" borderId="0" xfId="3" applyFont="1" applyFill="1" applyBorder="1" applyAlignment="1">
      <alignment horizontal="centerContinuous"/>
    </xf>
    <xf numFmtId="0" fontId="6" fillId="2" borderId="5" xfId="3" applyFont="1" applyFill="1" applyBorder="1" applyAlignment="1">
      <alignment horizontal="centerContinuous"/>
    </xf>
    <xf numFmtId="0" fontId="6" fillId="5" borderId="0" xfId="0" applyFont="1" applyFill="1" applyAlignment="1"/>
    <xf numFmtId="169" fontId="9" fillId="2" borderId="0" xfId="2" applyNumberFormat="1" applyFont="1" applyFill="1" applyBorder="1" applyAlignment="1">
      <alignment horizontal="left"/>
    </xf>
    <xf numFmtId="0" fontId="6" fillId="5" borderId="0" xfId="0" applyFont="1" applyFill="1" applyBorder="1" applyAlignment="1"/>
    <xf numFmtId="0" fontId="6" fillId="5" borderId="0" xfId="0" applyFont="1" applyFill="1" applyBorder="1" applyAlignment="1" applyProtection="1">
      <alignment vertical="top"/>
    </xf>
    <xf numFmtId="0" fontId="6" fillId="5" borderId="7" xfId="0" applyFont="1" applyFill="1" applyBorder="1" applyAlignment="1" applyProtection="1">
      <alignment vertical="top"/>
    </xf>
    <xf numFmtId="0" fontId="6" fillId="2" borderId="7" xfId="3" applyFont="1" applyFill="1" applyBorder="1"/>
    <xf numFmtId="0" fontId="6" fillId="5" borderId="0" xfId="0" applyFont="1" applyFill="1" applyAlignment="1">
      <alignment vertical="center"/>
    </xf>
    <xf numFmtId="0" fontId="6" fillId="2" borderId="0" xfId="0" applyFont="1" applyFill="1" applyAlignment="1">
      <alignment wrapText="1"/>
    </xf>
    <xf numFmtId="0" fontId="7" fillId="0" borderId="0" xfId="0" applyFont="1" applyAlignment="1">
      <alignment vertical="center"/>
    </xf>
    <xf numFmtId="0" fontId="19" fillId="2" borderId="5" xfId="4" applyFont="1" applyFill="1" applyBorder="1" applyAlignment="1">
      <alignment horizontal="centerContinuous"/>
    </xf>
    <xf numFmtId="0" fontId="8" fillId="6" borderId="0" xfId="5" applyFont="1" applyFill="1" applyBorder="1"/>
    <xf numFmtId="0" fontId="21" fillId="2" borderId="0" xfId="3" applyFont="1" applyFill="1"/>
    <xf numFmtId="164" fontId="21" fillId="2" borderId="1" xfId="3" applyNumberFormat="1" applyFont="1" applyFill="1" applyBorder="1" applyProtection="1"/>
    <xf numFmtId="166" fontId="21" fillId="2" borderId="1" xfId="3" applyNumberFormat="1" applyFont="1" applyFill="1" applyBorder="1" applyProtection="1"/>
    <xf numFmtId="166" fontId="21" fillId="2" borderId="1" xfId="1" applyFont="1" applyFill="1" applyBorder="1" applyProtection="1"/>
    <xf numFmtId="164" fontId="21" fillId="2" borderId="1" xfId="1" applyNumberFormat="1" applyFont="1" applyFill="1" applyBorder="1" applyProtection="1"/>
    <xf numFmtId="0" fontId="21" fillId="2" borderId="0" xfId="3" applyFont="1" applyFill="1" applyAlignment="1">
      <alignment horizontal="center"/>
    </xf>
    <xf numFmtId="0" fontId="21" fillId="2" borderId="1" xfId="3" applyFont="1" applyFill="1" applyBorder="1" applyProtection="1"/>
    <xf numFmtId="167" fontId="21" fillId="2" borderId="1" xfId="3" applyNumberFormat="1" applyFont="1" applyFill="1" applyBorder="1" applyProtection="1"/>
    <xf numFmtId="170" fontId="21" fillId="2" borderId="1" xfId="3" applyNumberFormat="1" applyFont="1" applyFill="1" applyBorder="1" applyProtection="1"/>
    <xf numFmtId="39" fontId="21" fillId="2" borderId="1" xfId="1" applyNumberFormat="1" applyFont="1" applyFill="1" applyBorder="1" applyAlignment="1" applyProtection="1">
      <alignment horizontal="right"/>
    </xf>
    <xf numFmtId="10" fontId="21" fillId="2" borderId="6" xfId="3" applyNumberFormat="1" applyFont="1" applyFill="1" applyBorder="1" applyAlignment="1" applyProtection="1">
      <alignment horizontal="center"/>
    </xf>
    <xf numFmtId="0" fontId="21" fillId="5" borderId="6" xfId="3" applyNumberFormat="1" applyFont="1" applyFill="1" applyBorder="1" applyAlignment="1" applyProtection="1">
      <alignment vertical="top"/>
    </xf>
    <xf numFmtId="166" fontId="9" fillId="2" borderId="1" xfId="2" applyNumberFormat="1" applyFont="1" applyFill="1" applyBorder="1" applyProtection="1">
      <protection locked="0"/>
    </xf>
  </cellXfs>
  <cellStyles count="6">
    <cellStyle name="Currency_BeefProd1" xfId="1" xr:uid="{00000000-0005-0000-0000-000000000000}"/>
    <cellStyle name="Hyperlink" xfId="4" builtinId="8"/>
    <cellStyle name="Normal" xfId="0" builtinId="0"/>
    <cellStyle name="Normal_calffeed" xfId="2" xr:uid="{00000000-0005-0000-0000-000002000000}"/>
    <cellStyle name="Normal_Calfpro" xfId="3" xr:uid="{00000000-0005-0000-0000-000003000000}"/>
    <cellStyle name="Normal_Corn2" xfId="5" xr:uid="{50A8BA8B-BECF-46B8-9228-D530CB9DA986}"/>
  </cellStyles>
  <dxfs count="3">
    <dxf>
      <font>
        <b/>
        <i val="0"/>
        <condense val="0"/>
        <extend val="0"/>
        <color indexed="10"/>
      </font>
    </dxf>
    <dxf>
      <font>
        <b/>
        <i val="0"/>
        <condense val="0"/>
        <extend val="0"/>
        <color indexed="10"/>
      </font>
      <fill>
        <patternFill patternType="none">
          <bgColor indexed="65"/>
        </patternFill>
      </fill>
    </dxf>
    <dxf>
      <font>
        <condense val="0"/>
        <extend val="0"/>
        <color indexed="1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1780186</xdr:colOff>
      <xdr:row>0</xdr:row>
      <xdr:rowOff>414564</xdr:rowOff>
    </xdr:to>
    <xdr:pic>
      <xdr:nvPicPr>
        <xdr:cNvPr id="2" name="Picture 1">
          <a:extLst>
            <a:ext uri="{FF2B5EF4-FFF2-40B4-BE49-F238E27FC236}">
              <a16:creationId xmlns:a16="http://schemas.microsoft.com/office/drawing/2014/main" id="{2C5587D1-11F8-40B9-A954-DAA82905481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0" y="0"/>
          <a:ext cx="1780186" cy="4145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59</xdr:row>
      <xdr:rowOff>0</xdr:rowOff>
    </xdr:from>
    <xdr:to>
      <xdr:col>7</xdr:col>
      <xdr:colOff>409575</xdr:colOff>
      <xdr:row>64</xdr:row>
      <xdr:rowOff>152400</xdr:rowOff>
    </xdr:to>
    <xdr:cxnSp macro="">
      <xdr:nvCxnSpPr>
        <xdr:cNvPr id="1025" name="AutoShape 1">
          <a:extLst>
            <a:ext uri="{FF2B5EF4-FFF2-40B4-BE49-F238E27FC236}">
              <a16:creationId xmlns:a16="http://schemas.microsoft.com/office/drawing/2014/main" id="{00000000-0008-0000-0100-000001040000}"/>
            </a:ext>
            <a:ext uri="{C183D7F6-B498-43B3-948B-1728B52AA6E4}">
              <adec:decorative xmlns:adec="http://schemas.microsoft.com/office/drawing/2017/decorative" val="1"/>
            </a:ext>
          </a:extLst>
        </xdr:cNvPr>
        <xdr:cNvCxnSpPr>
          <a:cxnSpLocks noChangeShapeType="1"/>
        </xdr:cNvCxnSpPr>
      </xdr:nvCxnSpPr>
      <xdr:spPr bwMode="auto">
        <a:xfrm rot="5400000">
          <a:off x="7553325" y="13087350"/>
          <a:ext cx="1228725" cy="1152525"/>
        </a:xfrm>
        <a:prstGeom prst="bentConnector3">
          <a:avLst>
            <a:gd name="adj1" fmla="val 99287"/>
          </a:avLst>
        </a:prstGeom>
        <a:noFill/>
        <a:ln w="15875">
          <a:solidFill>
            <a:srgbClr xmlns:mc="http://schemas.openxmlformats.org/markup-compatibility/2006" xmlns:a14="http://schemas.microsoft.com/office/drawing/2010/main" val="000000" mc:Ignorable="a14" a14:legacySpreadsheetColorIndex="8"/>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myops.gov.on.ca/mbs/ssb/tts/tts.nsf/0/920464604484be588525701500651310/$FILE/sdlx/French%20(Canada)/LoanCalc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sheetName val="Dialog1"/>
      <sheetName val="Balance"/>
      <sheetName val="P+I"/>
      <sheetName val="Compare"/>
      <sheetName val="Prepay"/>
      <sheetName val="Refinance"/>
      <sheetName val="InterestRate"/>
      <sheetName val="Time"/>
      <sheetName val="Max"/>
      <sheetName val="Tips"/>
      <sheetName val="Module1"/>
      <sheetName val="Module3"/>
      <sheetName val="Module4"/>
      <sheetName val="SetToolbars"/>
      <sheetName val="Module5"/>
    </sheetNames>
    <sheetDataSet>
      <sheetData sheetId="0">
        <row r="2">
          <cell r="R2">
            <v>7</v>
          </cell>
        </row>
      </sheetData>
      <sheetData sheetId="1"/>
      <sheetData sheetId="2" refreshError="1"/>
      <sheetData sheetId="3" refreshError="1"/>
      <sheetData sheetId="4"/>
      <sheetData sheetId="5"/>
      <sheetData sheetId="6"/>
      <sheetData sheetId="7"/>
      <sheetData sheetId="8"/>
      <sheetData sheetId="9"/>
      <sheetData sheetId="10"/>
      <sheetData sheetId="11" refreshError="1"/>
      <sheetData sheetId="12" refreshError="1"/>
      <sheetData sheetId="13" refreshError="1"/>
      <sheetData sheetId="14"/>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mafra.gov.on.ca/"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mafra.gov.on.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25"/>
  <sheetViews>
    <sheetView showGridLines="0" workbookViewId="0">
      <selection activeCell="A18" sqref="A18"/>
    </sheetView>
  </sheetViews>
  <sheetFormatPr defaultRowHeight="12.75" x14ac:dyDescent="0.2"/>
  <cols>
    <col min="1" max="1" width="104.28515625" customWidth="1"/>
  </cols>
  <sheetData>
    <row r="1" spans="1:1" ht="36.75" customHeight="1" x14ac:dyDescent="0.2"/>
    <row r="2" spans="1:1" ht="15.75" x14ac:dyDescent="0.2">
      <c r="A2" s="91" t="s">
        <v>87</v>
      </c>
    </row>
    <row r="3" spans="1:1" ht="132.75" customHeight="1" x14ac:dyDescent="0.4">
      <c r="A3" s="38" t="s">
        <v>70</v>
      </c>
    </row>
    <row r="4" spans="1:1" x14ac:dyDescent="0.2">
      <c r="A4" s="1"/>
    </row>
    <row r="5" spans="1:1" ht="120" x14ac:dyDescent="0.2">
      <c r="A5" s="90" t="s">
        <v>79</v>
      </c>
    </row>
    <row r="6" spans="1:1" x14ac:dyDescent="0.2">
      <c r="A6" s="39"/>
    </row>
    <row r="7" spans="1:1" ht="15.75" x14ac:dyDescent="0.25">
      <c r="A7" s="40" t="s">
        <v>4</v>
      </c>
    </row>
    <row r="8" spans="1:1" ht="15" x14ac:dyDescent="0.2">
      <c r="A8" s="68" t="s">
        <v>5</v>
      </c>
    </row>
    <row r="9" spans="1:1" ht="15" x14ac:dyDescent="0.2">
      <c r="A9" s="68" t="s">
        <v>6</v>
      </c>
    </row>
    <row r="10" spans="1:1" ht="15" x14ac:dyDescent="0.2">
      <c r="A10" s="8"/>
    </row>
    <row r="11" spans="1:1" ht="15" x14ac:dyDescent="0.2">
      <c r="A11" s="68" t="s">
        <v>68</v>
      </c>
    </row>
    <row r="12" spans="1:1" ht="15" x14ac:dyDescent="0.2">
      <c r="A12" s="78" t="s">
        <v>69</v>
      </c>
    </row>
    <row r="13" spans="1:1" ht="15" x14ac:dyDescent="0.2">
      <c r="A13" s="80" t="s">
        <v>7</v>
      </c>
    </row>
    <row r="14" spans="1:1" ht="15" x14ac:dyDescent="0.2">
      <c r="A14" s="80" t="s">
        <v>3</v>
      </c>
    </row>
    <row r="15" spans="1:1" ht="15" x14ac:dyDescent="0.2">
      <c r="A15" s="92" t="s">
        <v>88</v>
      </c>
    </row>
    <row r="16" spans="1:1" ht="15.75" x14ac:dyDescent="0.25">
      <c r="A16" s="93" t="s">
        <v>89</v>
      </c>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3"/>
    </row>
    <row r="23" spans="1:1" x14ac:dyDescent="0.2">
      <c r="A23" s="2"/>
    </row>
    <row r="24" spans="1:1" x14ac:dyDescent="0.2">
      <c r="A24" s="2"/>
    </row>
    <row r="25" spans="1:1" x14ac:dyDescent="0.2">
      <c r="A25" s="2"/>
    </row>
  </sheetData>
  <phoneticPr fontId="12" type="noConversion"/>
  <hyperlinks>
    <hyperlink ref="A15" r:id="rId1" xr:uid="{6F3C6A2F-709D-40F3-8B77-CE748CE49A61}"/>
  </hyperlinks>
  <pageMargins left="0.75" right="0.75" top="1" bottom="1" header="0.5" footer="0.5"/>
  <pageSetup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AA77"/>
  <sheetViews>
    <sheetView showGridLines="0" tabSelected="1" zoomScaleNormal="100" workbookViewId="0">
      <selection activeCell="A9" sqref="A9"/>
    </sheetView>
  </sheetViews>
  <sheetFormatPr defaultColWidth="10.28515625" defaultRowHeight="12.75" x14ac:dyDescent="0.2"/>
  <cols>
    <col min="1" max="1" width="41.28515625" style="6" customWidth="1"/>
    <col min="2" max="2" width="11.28515625" style="6" customWidth="1"/>
    <col min="3" max="3" width="8.28515625" style="6" customWidth="1"/>
    <col min="4" max="4" width="33" style="6" customWidth="1"/>
    <col min="5" max="5" width="13.140625" style="6" customWidth="1"/>
    <col min="6" max="6" width="19.85546875" style="6" customWidth="1"/>
    <col min="7" max="7" width="11.28515625" style="6" customWidth="1"/>
    <col min="8" max="8" width="10.28515625" style="6" customWidth="1"/>
    <col min="9" max="9" width="34.140625" style="6" customWidth="1"/>
    <col min="10" max="16384" width="10.28515625" style="6"/>
  </cols>
  <sheetData>
    <row r="1" spans="1:27" ht="15.75" x14ac:dyDescent="0.2">
      <c r="A1" s="91" t="s">
        <v>87</v>
      </c>
    </row>
    <row r="2" spans="1:27" ht="48" customHeight="1" x14ac:dyDescent="0.4">
      <c r="A2" s="48" t="s">
        <v>71</v>
      </c>
      <c r="B2" s="49"/>
      <c r="C2" s="49"/>
      <c r="D2" s="49"/>
      <c r="E2" s="49"/>
      <c r="F2" s="49"/>
      <c r="G2" s="4"/>
      <c r="H2" s="5"/>
      <c r="I2" s="5"/>
    </row>
    <row r="3" spans="1:27" s="50" customFormat="1" ht="15.75" x14ac:dyDescent="0.25">
      <c r="A3" s="84" t="s">
        <v>8</v>
      </c>
      <c r="B3" s="8"/>
      <c r="C3" s="8"/>
      <c r="D3" s="8"/>
      <c r="E3" s="8"/>
      <c r="F3" s="8"/>
      <c r="G3" s="47" t="s">
        <v>90</v>
      </c>
      <c r="H3" s="8"/>
      <c r="I3" s="8"/>
      <c r="AA3" s="51">
        <f>IF(E57=0,B20*B5,IF(E57&gt;0,B20*B5*(1+E57),B20*B5*(1-(ABS(E57)))))</f>
        <v>1285.2</v>
      </c>
    </row>
    <row r="4" spans="1:27" s="50" customFormat="1" ht="15.75" x14ac:dyDescent="0.25">
      <c r="A4" s="94" t="s">
        <v>9</v>
      </c>
      <c r="B4" s="8"/>
      <c r="C4" s="8"/>
      <c r="D4" s="8"/>
      <c r="E4" s="40" t="s">
        <v>54</v>
      </c>
      <c r="F4" s="40" t="s">
        <v>0</v>
      </c>
      <c r="G4" s="8"/>
      <c r="H4" s="8"/>
      <c r="I4" s="8"/>
      <c r="AA4" s="51">
        <f>IF(E58=0,B21*B6,IF(E58&gt;0,B21*B6*(1+E58),B21*B6*(1-(ABS(E58)))))</f>
        <v>1237.5</v>
      </c>
    </row>
    <row r="5" spans="1:27" s="50" customFormat="1" ht="15.75" x14ac:dyDescent="0.25">
      <c r="A5" s="9" t="s">
        <v>10</v>
      </c>
      <c r="B5" s="10">
        <v>850</v>
      </c>
      <c r="C5" s="8"/>
      <c r="D5" s="9" t="s">
        <v>40</v>
      </c>
      <c r="E5" s="95">
        <f>B5*B20</f>
        <v>1428</v>
      </c>
      <c r="F5" s="11"/>
      <c r="G5" s="8"/>
      <c r="H5" s="8"/>
      <c r="I5" s="8"/>
      <c r="AA5" s="51">
        <f>IF(E59=0,E16,IF(E59&gt;0,E16*(1+E59),E16*(1-(ABS(E59)))))</f>
        <v>354.55769306215632</v>
      </c>
    </row>
    <row r="6" spans="1:27" s="50" customFormat="1" ht="15.75" x14ac:dyDescent="0.25">
      <c r="A6" s="9" t="s">
        <v>11</v>
      </c>
      <c r="B6" s="10">
        <v>625</v>
      </c>
      <c r="C6" s="8"/>
      <c r="D6" s="9" t="s">
        <v>41</v>
      </c>
      <c r="E6" s="95">
        <f>B6*B21</f>
        <v>1125</v>
      </c>
      <c r="F6" s="12"/>
      <c r="G6" s="8"/>
      <c r="H6" s="8"/>
      <c r="I6" s="8"/>
    </row>
    <row r="7" spans="1:27" s="50" customFormat="1" ht="15.75" x14ac:dyDescent="0.25">
      <c r="A7" s="9" t="s">
        <v>12</v>
      </c>
      <c r="B7" s="10">
        <v>115</v>
      </c>
      <c r="C7" s="8"/>
      <c r="D7" s="9" t="s">
        <v>72</v>
      </c>
      <c r="E7" s="95">
        <f>(+E5+E6)/2*B8*0.01</f>
        <v>12.765000000000001</v>
      </c>
      <c r="F7" s="13"/>
      <c r="G7" s="8"/>
      <c r="H7" s="8"/>
      <c r="I7" s="8"/>
    </row>
    <row r="8" spans="1:27" s="50" customFormat="1" ht="15.75" x14ac:dyDescent="0.25">
      <c r="A8" s="9" t="s">
        <v>73</v>
      </c>
      <c r="B8" s="14">
        <v>1</v>
      </c>
      <c r="C8" s="8"/>
      <c r="D8" s="9" t="s">
        <v>42</v>
      </c>
      <c r="E8" s="95">
        <f>E5-E6-E7</f>
        <v>290.23500000000001</v>
      </c>
      <c r="F8" s="96">
        <f>E8/B23</f>
        <v>1.2899333333333334</v>
      </c>
      <c r="G8" s="8"/>
      <c r="H8" s="8"/>
      <c r="I8" s="8"/>
    </row>
    <row r="9" spans="1:27" s="50" customFormat="1" ht="15.75" x14ac:dyDescent="0.25">
      <c r="A9" s="15"/>
      <c r="B9" s="16"/>
      <c r="C9" s="8"/>
      <c r="D9" s="17"/>
      <c r="E9" s="18"/>
      <c r="F9" s="19"/>
      <c r="G9" s="8"/>
      <c r="H9" s="8"/>
      <c r="I9" s="8"/>
    </row>
    <row r="10" spans="1:27" s="50" customFormat="1" ht="15.75" x14ac:dyDescent="0.25">
      <c r="A10" s="94" t="s">
        <v>74</v>
      </c>
      <c r="B10" s="8"/>
      <c r="C10" s="8"/>
      <c r="D10" s="8"/>
      <c r="E10" s="8"/>
      <c r="F10" s="20"/>
      <c r="G10" s="8"/>
      <c r="H10" s="8"/>
      <c r="I10" s="8"/>
    </row>
    <row r="11" spans="1:27" s="50" customFormat="1" ht="15.75" x14ac:dyDescent="0.25">
      <c r="A11" s="9" t="s">
        <v>14</v>
      </c>
      <c r="B11" s="97">
        <f>+Backgrounder!E41</f>
        <v>0.94392139077853354</v>
      </c>
      <c r="C11" s="8"/>
      <c r="D11" s="9" t="s">
        <v>43</v>
      </c>
      <c r="E11" s="98">
        <f>B11*B23</f>
        <v>212.38231292517005</v>
      </c>
      <c r="F11" s="96">
        <f t="shared" ref="F11:F17" si="0">E11/$B$23</f>
        <v>0.94392139077853354</v>
      </c>
      <c r="G11" s="8"/>
      <c r="H11" s="8"/>
      <c r="I11" s="8"/>
    </row>
    <row r="12" spans="1:27" s="50" customFormat="1" ht="15.75" x14ac:dyDescent="0.25">
      <c r="A12" s="9" t="s">
        <v>15</v>
      </c>
      <c r="B12" s="21">
        <v>40</v>
      </c>
      <c r="C12" s="8"/>
      <c r="D12" s="9" t="s">
        <v>15</v>
      </c>
      <c r="E12" s="98">
        <f>B12</f>
        <v>40</v>
      </c>
      <c r="F12" s="96">
        <f t="shared" si="0"/>
        <v>0.17777777777777778</v>
      </c>
      <c r="G12" s="8"/>
      <c r="H12" s="8"/>
      <c r="I12" s="8"/>
    </row>
    <row r="13" spans="1:27" s="50" customFormat="1" ht="15.75" x14ac:dyDescent="0.25">
      <c r="A13" s="9" t="s">
        <v>16</v>
      </c>
      <c r="B13" s="21">
        <v>40</v>
      </c>
      <c r="C13" s="8"/>
      <c r="D13" s="9" t="s">
        <v>16</v>
      </c>
      <c r="E13" s="98">
        <f>B13</f>
        <v>40</v>
      </c>
      <c r="F13" s="96">
        <f t="shared" si="0"/>
        <v>0.17777777777777778</v>
      </c>
      <c r="G13" s="8"/>
      <c r="H13" s="8"/>
      <c r="I13" s="8"/>
    </row>
    <row r="14" spans="1:27" s="50" customFormat="1" ht="15.75" x14ac:dyDescent="0.25">
      <c r="A14" s="9" t="s">
        <v>17</v>
      </c>
      <c r="B14" s="22">
        <v>0.42</v>
      </c>
      <c r="C14" s="8"/>
      <c r="D14" s="9" t="s">
        <v>44</v>
      </c>
      <c r="E14" s="98">
        <f>B14*B7</f>
        <v>48.3</v>
      </c>
      <c r="F14" s="96">
        <f t="shared" si="0"/>
        <v>0.21466666666666664</v>
      </c>
      <c r="G14" s="8"/>
      <c r="H14" s="8"/>
      <c r="I14" s="8"/>
    </row>
    <row r="15" spans="1:27" s="50" customFormat="1" ht="15.75" x14ac:dyDescent="0.25">
      <c r="A15" s="9" t="s">
        <v>18</v>
      </c>
      <c r="B15" s="23">
        <v>3.45</v>
      </c>
      <c r="C15" s="8"/>
      <c r="D15" s="9" t="s">
        <v>45</v>
      </c>
      <c r="E15" s="98">
        <f>(E6+E5)/2*B15*0.01*B7/365</f>
        <v>13.875380136986301</v>
      </c>
      <c r="F15" s="96">
        <f t="shared" si="0"/>
        <v>6.1668356164383563E-2</v>
      </c>
      <c r="G15" s="8"/>
      <c r="H15" s="8"/>
      <c r="I15" s="8"/>
    </row>
    <row r="16" spans="1:27" s="50" customFormat="1" ht="15.75" x14ac:dyDescent="0.25">
      <c r="A16" s="15"/>
      <c r="B16" s="24"/>
      <c r="C16" s="8"/>
      <c r="D16" s="9" t="s">
        <v>13</v>
      </c>
      <c r="E16" s="98">
        <f>SUM(E11:E15)</f>
        <v>354.55769306215632</v>
      </c>
      <c r="F16" s="96">
        <f t="shared" si="0"/>
        <v>1.5758119691651391</v>
      </c>
      <c r="G16" s="8"/>
      <c r="H16" s="8"/>
      <c r="I16" s="8"/>
    </row>
    <row r="17" spans="1:9" s="50" customFormat="1" ht="15.75" x14ac:dyDescent="0.25">
      <c r="A17" s="15"/>
      <c r="B17" s="24"/>
      <c r="C17" s="8"/>
      <c r="D17" s="9" t="s">
        <v>67</v>
      </c>
      <c r="E17" s="95">
        <f>E8-E16</f>
        <v>-64.322693062156304</v>
      </c>
      <c r="F17" s="96">
        <f t="shared" si="0"/>
        <v>-0.28587863583180578</v>
      </c>
      <c r="G17" s="8"/>
      <c r="H17" s="8"/>
      <c r="I17" s="8"/>
    </row>
    <row r="18" spans="1:9" s="50" customFormat="1" ht="15.75" x14ac:dyDescent="0.25">
      <c r="A18" s="7"/>
      <c r="B18" s="8"/>
      <c r="C18" s="8"/>
      <c r="D18" s="8"/>
      <c r="E18" s="8"/>
      <c r="F18" s="8"/>
      <c r="G18" s="8"/>
      <c r="H18" s="20"/>
      <c r="I18" s="8"/>
    </row>
    <row r="19" spans="1:9" s="50" customFormat="1" ht="15.75" x14ac:dyDescent="0.25">
      <c r="A19" s="99" t="s">
        <v>19</v>
      </c>
      <c r="B19" s="25"/>
      <c r="C19" s="8"/>
      <c r="D19" s="8"/>
      <c r="E19" s="8"/>
      <c r="F19" s="8"/>
      <c r="G19" s="8"/>
      <c r="H19" s="20"/>
      <c r="I19" s="8"/>
    </row>
    <row r="20" spans="1:9" s="50" customFormat="1" ht="15.75" x14ac:dyDescent="0.25">
      <c r="A20" s="9" t="s">
        <v>20</v>
      </c>
      <c r="B20" s="22">
        <v>1.68</v>
      </c>
      <c r="C20" s="8"/>
      <c r="D20" s="9" t="s">
        <v>46</v>
      </c>
      <c r="E20" s="95">
        <f>E16+E6+E7</f>
        <v>1492.3226930621565</v>
      </c>
      <c r="F20" s="96">
        <f>(E16+E6+E7)/B5</f>
        <v>1.7556737565437135</v>
      </c>
      <c r="G20" s="8"/>
      <c r="H20" s="8"/>
      <c r="I20" s="8"/>
    </row>
    <row r="21" spans="1:9" s="50" customFormat="1" ht="15.75" x14ac:dyDescent="0.25">
      <c r="A21" s="9" t="s">
        <v>21</v>
      </c>
      <c r="B21" s="22">
        <v>1.8</v>
      </c>
      <c r="C21" s="8"/>
      <c r="D21" s="9" t="s">
        <v>47</v>
      </c>
      <c r="E21" s="95">
        <f>(E5-E7-E16)</f>
        <v>1060.6773069378437</v>
      </c>
      <c r="F21" s="96">
        <f>(E5-E7-E16)/B6</f>
        <v>1.69708369110055</v>
      </c>
      <c r="G21" s="8"/>
      <c r="H21" s="8"/>
      <c r="I21" s="8"/>
    </row>
    <row r="22" spans="1:9" s="50" customFormat="1" ht="15" x14ac:dyDescent="0.2">
      <c r="A22" s="8"/>
      <c r="B22" s="8"/>
      <c r="C22" s="8"/>
      <c r="D22" s="8"/>
      <c r="E22" s="26"/>
      <c r="F22" s="26"/>
      <c r="G22" s="8"/>
      <c r="H22" s="8"/>
      <c r="I22" s="8"/>
    </row>
    <row r="23" spans="1:9" s="50" customFormat="1" ht="15.75" x14ac:dyDescent="0.25">
      <c r="A23" s="9" t="s">
        <v>22</v>
      </c>
      <c r="B23" s="100">
        <f>B5-B6</f>
        <v>225</v>
      </c>
      <c r="C23" s="8"/>
      <c r="D23" s="9" t="s">
        <v>48</v>
      </c>
      <c r="E23" s="101">
        <f>B23/B7</f>
        <v>1.9565217391304348</v>
      </c>
      <c r="F23" s="26"/>
      <c r="G23" s="8"/>
      <c r="H23" s="8"/>
      <c r="I23" s="8"/>
    </row>
    <row r="24" spans="1:9" s="50" customFormat="1" ht="15" x14ac:dyDescent="0.2">
      <c r="A24" s="8"/>
      <c r="B24" s="8"/>
      <c r="C24" s="8"/>
      <c r="D24" s="8"/>
      <c r="E24" s="8"/>
      <c r="F24" s="8"/>
      <c r="G24" s="8"/>
      <c r="H24" s="8"/>
      <c r="I24" s="8"/>
    </row>
    <row r="25" spans="1:9" s="50" customFormat="1" ht="15" x14ac:dyDescent="0.2">
      <c r="A25" s="8"/>
      <c r="B25" s="8"/>
      <c r="C25" s="8"/>
      <c r="D25" s="8"/>
      <c r="E25" s="8"/>
      <c r="F25" s="8"/>
      <c r="G25" s="8"/>
      <c r="H25" s="8"/>
      <c r="I25" s="8"/>
    </row>
    <row r="26" spans="1:9" s="50" customFormat="1" ht="15.75" x14ac:dyDescent="0.25">
      <c r="A26" s="94" t="s">
        <v>23</v>
      </c>
      <c r="B26" s="41" t="s">
        <v>1</v>
      </c>
      <c r="C26" s="8"/>
      <c r="D26" s="45" t="s">
        <v>49</v>
      </c>
      <c r="E26" s="52"/>
      <c r="F26" s="41" t="s">
        <v>56</v>
      </c>
      <c r="G26" s="8"/>
      <c r="H26" s="8"/>
      <c r="I26" s="8"/>
    </row>
    <row r="27" spans="1:9" s="50" customFormat="1" ht="15.75" x14ac:dyDescent="0.25">
      <c r="A27" s="46" t="s">
        <v>24</v>
      </c>
      <c r="B27" s="46">
        <v>200</v>
      </c>
      <c r="C27" s="53"/>
      <c r="D27" s="54">
        <v>12.1</v>
      </c>
      <c r="E27" s="95">
        <f t="shared" ref="E27:E36" si="1">+(B27/1000/2.205)*D27*$B$7</f>
        <v>126.21315192743765</v>
      </c>
      <c r="F27" s="55">
        <v>0.9</v>
      </c>
      <c r="G27" s="56"/>
      <c r="H27" s="8"/>
      <c r="I27" s="8"/>
    </row>
    <row r="28" spans="1:9" s="50" customFormat="1" ht="15.75" x14ac:dyDescent="0.25">
      <c r="A28" s="46" t="s">
        <v>25</v>
      </c>
      <c r="B28" s="46">
        <v>100</v>
      </c>
      <c r="C28" s="8"/>
      <c r="D28" s="54">
        <v>0</v>
      </c>
      <c r="E28" s="95">
        <f t="shared" si="1"/>
        <v>0</v>
      </c>
      <c r="F28" s="55">
        <v>0.45</v>
      </c>
      <c r="G28" s="56"/>
      <c r="H28" s="8"/>
      <c r="I28" s="8"/>
    </row>
    <row r="29" spans="1:9" s="50" customFormat="1" ht="15.75" x14ac:dyDescent="0.25">
      <c r="A29" s="46" t="s">
        <v>26</v>
      </c>
      <c r="B29" s="46">
        <v>40</v>
      </c>
      <c r="C29" s="8"/>
      <c r="D29" s="54">
        <v>0</v>
      </c>
      <c r="E29" s="95">
        <f t="shared" si="1"/>
        <v>0</v>
      </c>
      <c r="F29" s="55">
        <v>0.35</v>
      </c>
      <c r="G29" s="56"/>
      <c r="H29" s="8"/>
      <c r="I29" s="8"/>
    </row>
    <row r="30" spans="1:9" s="50" customFormat="1" ht="15.75" x14ac:dyDescent="0.25">
      <c r="A30" s="46" t="s">
        <v>27</v>
      </c>
      <c r="B30" s="46">
        <v>220</v>
      </c>
      <c r="C30" s="8"/>
      <c r="D30" s="54">
        <v>6</v>
      </c>
      <c r="E30" s="95">
        <f t="shared" si="1"/>
        <v>68.843537414965979</v>
      </c>
      <c r="F30" s="55">
        <v>0.86</v>
      </c>
      <c r="G30" s="56"/>
      <c r="H30" s="8"/>
      <c r="I30" s="8"/>
    </row>
    <row r="31" spans="1:9" s="50" customFormat="1" ht="15.75" x14ac:dyDescent="0.25">
      <c r="A31" s="46" t="s">
        <v>59</v>
      </c>
      <c r="B31" s="46">
        <v>0</v>
      </c>
      <c r="C31" s="8"/>
      <c r="D31" s="54">
        <v>0</v>
      </c>
      <c r="E31" s="95">
        <f t="shared" si="1"/>
        <v>0</v>
      </c>
      <c r="F31" s="55">
        <v>0.7</v>
      </c>
      <c r="G31" s="56"/>
      <c r="H31" s="8"/>
      <c r="I31" s="8"/>
    </row>
    <row r="32" spans="1:9" s="50" customFormat="1" ht="15.75" x14ac:dyDescent="0.25">
      <c r="A32" s="46" t="s">
        <v>63</v>
      </c>
      <c r="B32" s="46">
        <v>200</v>
      </c>
      <c r="C32" s="8"/>
      <c r="D32" s="54">
        <v>1.1000000000000001</v>
      </c>
      <c r="E32" s="95">
        <f t="shared" si="1"/>
        <v>11.473922902494332</v>
      </c>
      <c r="F32" s="55">
        <v>0.9</v>
      </c>
      <c r="G32" s="56"/>
      <c r="H32" s="8"/>
      <c r="I32" s="8"/>
    </row>
    <row r="33" spans="1:9" s="50" customFormat="1" ht="15.75" x14ac:dyDescent="0.25">
      <c r="A33" s="46" t="s">
        <v>28</v>
      </c>
      <c r="B33" s="46">
        <v>1700</v>
      </c>
      <c r="C33" s="8"/>
      <c r="D33" s="57">
        <v>6.6000000000000003E-2</v>
      </c>
      <c r="E33" s="95">
        <f t="shared" si="1"/>
        <v>5.851700680272109</v>
      </c>
      <c r="F33" s="55">
        <v>1</v>
      </c>
      <c r="G33" s="56"/>
      <c r="H33" s="8"/>
      <c r="I33" s="8"/>
    </row>
    <row r="34" spans="1:9" s="50" customFormat="1" ht="15.75" x14ac:dyDescent="0.25">
      <c r="A34" s="46" t="s">
        <v>29</v>
      </c>
      <c r="B34" s="46">
        <v>0</v>
      </c>
      <c r="C34" s="8"/>
      <c r="D34" s="54">
        <v>0</v>
      </c>
      <c r="E34" s="95">
        <f t="shared" si="1"/>
        <v>0</v>
      </c>
      <c r="F34" s="55">
        <v>0.86</v>
      </c>
      <c r="G34" s="56"/>
      <c r="H34" s="8"/>
      <c r="I34" s="8"/>
    </row>
    <row r="35" spans="1:9" s="50" customFormat="1" ht="15.75" x14ac:dyDescent="0.25">
      <c r="A35" s="46" t="s">
        <v>80</v>
      </c>
      <c r="B35" s="46">
        <v>200</v>
      </c>
      <c r="C35" s="8"/>
      <c r="D35" s="54">
        <v>0</v>
      </c>
      <c r="E35" s="95">
        <f t="shared" si="1"/>
        <v>0</v>
      </c>
      <c r="F35" s="55">
        <v>0.9</v>
      </c>
      <c r="G35" s="56"/>
      <c r="H35" s="8"/>
      <c r="I35" s="8"/>
    </row>
    <row r="36" spans="1:9" s="50" customFormat="1" ht="15.75" x14ac:dyDescent="0.25">
      <c r="A36" s="46" t="s">
        <v>30</v>
      </c>
      <c r="B36" s="46">
        <v>0</v>
      </c>
      <c r="C36" s="8"/>
      <c r="D36" s="54">
        <v>0</v>
      </c>
      <c r="E36" s="95">
        <f t="shared" si="1"/>
        <v>0</v>
      </c>
      <c r="F36" s="55"/>
      <c r="G36" s="56"/>
      <c r="H36" s="8"/>
      <c r="I36" s="8"/>
    </row>
    <row r="37" spans="1:9" s="50" customFormat="1" ht="15.75" x14ac:dyDescent="0.25">
      <c r="A37" s="46"/>
      <c r="B37" s="42" t="s">
        <v>2</v>
      </c>
      <c r="C37" s="8"/>
      <c r="D37" s="54"/>
      <c r="E37" s="27"/>
      <c r="F37" s="58"/>
      <c r="G37" s="56"/>
      <c r="H37" s="8"/>
      <c r="I37" s="8"/>
    </row>
    <row r="38" spans="1:9" s="50" customFormat="1" ht="15.75" x14ac:dyDescent="0.25">
      <c r="A38" s="46" t="s">
        <v>31</v>
      </c>
      <c r="B38" s="106">
        <v>0.78</v>
      </c>
      <c r="C38" s="53"/>
      <c r="D38" s="54" t="s">
        <v>50</v>
      </c>
      <c r="E38" s="46">
        <v>0</v>
      </c>
      <c r="F38" s="42" t="s">
        <v>50</v>
      </c>
      <c r="G38" s="56"/>
      <c r="H38" s="8"/>
      <c r="I38" s="8"/>
    </row>
    <row r="39" spans="1:9" s="50" customFormat="1" ht="15" x14ac:dyDescent="0.2">
      <c r="A39" s="59"/>
      <c r="B39" s="8"/>
      <c r="C39" s="8"/>
      <c r="D39" s="8"/>
      <c r="E39" s="8"/>
      <c r="F39" s="8"/>
      <c r="G39" s="8"/>
      <c r="H39" s="8"/>
      <c r="I39" s="8"/>
    </row>
    <row r="40" spans="1:9" s="50" customFormat="1" ht="15.75" x14ac:dyDescent="0.25">
      <c r="A40" s="59"/>
      <c r="B40" s="43" t="s">
        <v>36</v>
      </c>
      <c r="C40" s="28"/>
      <c r="D40" s="28"/>
      <c r="E40" s="95">
        <f>SUM(E27:E38)</f>
        <v>212.38231292517005</v>
      </c>
      <c r="F40" s="26"/>
      <c r="G40" s="26"/>
      <c r="H40" s="26"/>
      <c r="I40" s="8"/>
    </row>
    <row r="41" spans="1:9" s="50" customFormat="1" ht="15.75" x14ac:dyDescent="0.25">
      <c r="A41" s="59"/>
      <c r="B41" s="43" t="s">
        <v>37</v>
      </c>
      <c r="C41" s="29"/>
      <c r="D41" s="29"/>
      <c r="E41" s="102">
        <f>+E40/B23</f>
        <v>0.94392139077853354</v>
      </c>
      <c r="F41" s="60" t="s">
        <v>57</v>
      </c>
      <c r="G41" s="26"/>
      <c r="H41" s="26"/>
      <c r="I41" s="8"/>
    </row>
    <row r="42" spans="1:9" s="50" customFormat="1" ht="15.75" customHeight="1" x14ac:dyDescent="0.25">
      <c r="A42" s="8"/>
      <c r="B42" s="43" t="s">
        <v>38</v>
      </c>
      <c r="C42" s="30"/>
      <c r="D42" s="31"/>
      <c r="E42" s="103">
        <f>IF(E38=0,((D27*F27)+(D28*F28)+(D29*F29)+(D30*F30)+(D31*F31)+(D32*F32)+(D33*F33)+(D34*F34)+(D35*F35)+(D36*F36)),"s.o.")</f>
        <v>17.105999999999998</v>
      </c>
      <c r="F42" s="104">
        <f>IF(E38=0,E42/((B5+B6)/2),"s.o.")</f>
        <v>2.3194576271186439E-2</v>
      </c>
      <c r="G42" s="105" t="str">
        <f>IF(E38=0,(IF(E42&gt;(0.025*((B5+B6)/2)),"Trop de MS; réviser ration"&amp;ROUND(E42,2),IF(E42&lt;(0.022*((B5+B6)/2)),"Trop peu de MS; réviser ration"&amp;ROUND(E42,2),
"O.K. MS en deçà de 2,2 à 2,5 % du poids corporel"))),"s.o.")</f>
        <v>O.K. MS en deçà de 2,2 à 2,5 % du poids corporel</v>
      </c>
      <c r="H42" s="87"/>
      <c r="I42" s="88"/>
    </row>
    <row r="43" spans="1:9" s="50" customFormat="1" ht="23.25" customHeight="1" x14ac:dyDescent="0.25">
      <c r="A43" s="8"/>
      <c r="B43" s="43" t="s">
        <v>39</v>
      </c>
      <c r="C43" s="29"/>
      <c r="D43" s="29"/>
      <c r="E43" s="103">
        <f>IF(E38=0,((D27*F27+D28*F28+D29*F29+D30*F30+D31*F31+D32*F32+D33*F33+D34*F34+D35*F35+D36*F36+D37*F37)*B7/B23),"s.o.")</f>
        <v>8.7430666666666657</v>
      </c>
      <c r="F43" s="26"/>
      <c r="G43" s="86"/>
      <c r="H43" s="86"/>
      <c r="I43" s="8"/>
    </row>
    <row r="44" spans="1:9" s="50" customFormat="1" ht="17.25" customHeight="1" x14ac:dyDescent="0.2">
      <c r="A44" s="8"/>
      <c r="B44" s="8"/>
      <c r="C44" s="8"/>
      <c r="D44" s="8"/>
      <c r="E44" s="8"/>
      <c r="F44" s="8"/>
      <c r="G44" s="85"/>
      <c r="H44" s="85"/>
      <c r="I44" s="8"/>
    </row>
    <row r="45" spans="1:9" s="50" customFormat="1" ht="28.5" customHeight="1" x14ac:dyDescent="0.25">
      <c r="A45" s="40" t="s">
        <v>60</v>
      </c>
      <c r="B45" s="47"/>
      <c r="C45" s="47"/>
      <c r="D45" s="47"/>
      <c r="E45" s="47"/>
      <c r="F45" s="47"/>
      <c r="G45" s="8"/>
      <c r="H45" s="8"/>
      <c r="I45" s="8"/>
    </row>
    <row r="46" spans="1:9" s="50" customFormat="1" ht="15.75" x14ac:dyDescent="0.25">
      <c r="A46" s="47" t="s">
        <v>61</v>
      </c>
      <c r="B46" s="8"/>
      <c r="C46" s="8"/>
      <c r="D46" s="8"/>
      <c r="E46" s="8"/>
      <c r="F46" s="8"/>
      <c r="G46" s="8"/>
      <c r="H46" s="8"/>
      <c r="I46" s="8"/>
    </row>
    <row r="47" spans="1:9" s="50" customFormat="1" ht="15" x14ac:dyDescent="0.2">
      <c r="A47" s="8"/>
      <c r="B47" s="8"/>
      <c r="C47" s="8"/>
      <c r="D47" s="8"/>
      <c r="E47" s="8"/>
      <c r="F47" s="8"/>
      <c r="G47" s="8"/>
      <c r="H47" s="8"/>
      <c r="I47" s="8"/>
    </row>
    <row r="48" spans="1:9" s="50" customFormat="1" ht="15.75" x14ac:dyDescent="0.25">
      <c r="A48" s="61" t="s">
        <v>32</v>
      </c>
      <c r="B48" s="62"/>
      <c r="C48" s="62"/>
      <c r="D48" s="62"/>
      <c r="E48" s="62"/>
      <c r="F48" s="62"/>
      <c r="G48" s="62"/>
      <c r="H48" s="62"/>
      <c r="I48" s="63"/>
    </row>
    <row r="49" spans="1:9" s="50" customFormat="1" ht="18" customHeight="1" x14ac:dyDescent="0.2">
      <c r="A49" s="89" t="s">
        <v>81</v>
      </c>
      <c r="B49" s="83"/>
      <c r="C49" s="83"/>
      <c r="D49" s="83"/>
      <c r="E49" s="83"/>
      <c r="F49" s="83"/>
      <c r="G49" s="83"/>
      <c r="H49" s="83"/>
      <c r="I49" s="83"/>
    </row>
    <row r="50" spans="1:9" s="50" customFormat="1" ht="15" x14ac:dyDescent="0.2">
      <c r="A50" s="89" t="s">
        <v>82</v>
      </c>
      <c r="B50" s="8"/>
      <c r="C50" s="8"/>
      <c r="D50" s="8"/>
      <c r="E50" s="8"/>
      <c r="F50" s="8"/>
      <c r="G50" s="8"/>
      <c r="H50" s="8"/>
      <c r="I50" s="64"/>
    </row>
    <row r="51" spans="1:9" s="50" customFormat="1" ht="15" x14ac:dyDescent="0.2">
      <c r="A51" s="89" t="s">
        <v>83</v>
      </c>
      <c r="B51" s="8"/>
      <c r="C51" s="8"/>
      <c r="D51" s="8"/>
      <c r="E51" s="8"/>
      <c r="F51" s="8"/>
      <c r="G51" s="8"/>
      <c r="H51" s="8"/>
      <c r="I51" s="64"/>
    </row>
    <row r="52" spans="1:9" s="50" customFormat="1" ht="15" x14ac:dyDescent="0.2">
      <c r="A52" s="89" t="s">
        <v>84</v>
      </c>
      <c r="B52" s="8"/>
      <c r="C52" s="8"/>
      <c r="D52" s="8"/>
      <c r="E52" s="8"/>
      <c r="F52" s="8"/>
      <c r="G52" s="8"/>
      <c r="H52" s="8"/>
      <c r="I52" s="64"/>
    </row>
    <row r="53" spans="1:9" s="50" customFormat="1" ht="15" x14ac:dyDescent="0.2">
      <c r="A53" s="89" t="s">
        <v>85</v>
      </c>
      <c r="B53" s="8"/>
      <c r="C53" s="8"/>
      <c r="D53" s="8"/>
      <c r="E53" s="8"/>
      <c r="F53" s="8"/>
      <c r="G53" s="8"/>
      <c r="H53" s="8"/>
      <c r="I53" s="64"/>
    </row>
    <row r="54" spans="1:9" s="50" customFormat="1" ht="15" x14ac:dyDescent="0.2">
      <c r="A54" s="89" t="s">
        <v>86</v>
      </c>
      <c r="B54" s="8"/>
      <c r="C54" s="8"/>
      <c r="D54" s="8"/>
      <c r="E54" s="8"/>
      <c r="F54" s="8"/>
      <c r="G54" s="8"/>
      <c r="H54" s="8"/>
      <c r="I54" s="64"/>
    </row>
    <row r="55" spans="1:9" s="50" customFormat="1" ht="15.75" x14ac:dyDescent="0.25">
      <c r="A55" s="8"/>
      <c r="B55" s="8"/>
      <c r="C55" s="8"/>
      <c r="D55" s="65"/>
      <c r="E55" s="8"/>
      <c r="F55" s="8"/>
      <c r="G55" s="8"/>
      <c r="H55" s="8"/>
      <c r="I55" s="64"/>
    </row>
    <row r="56" spans="1:9" s="50" customFormat="1" ht="33" customHeight="1" thickBot="1" x14ac:dyDescent="0.3">
      <c r="A56" s="66" t="s">
        <v>33</v>
      </c>
      <c r="B56" s="44" t="s">
        <v>0</v>
      </c>
      <c r="C56" s="8"/>
      <c r="D56" s="67" t="s">
        <v>62</v>
      </c>
      <c r="E56" s="44" t="s">
        <v>55</v>
      </c>
      <c r="F56" s="47"/>
      <c r="G56" s="40" t="s">
        <v>58</v>
      </c>
      <c r="H56" s="8"/>
      <c r="I56" s="64"/>
    </row>
    <row r="57" spans="1:9" s="50" customFormat="1" ht="16.5" thickBot="1" x14ac:dyDescent="0.3">
      <c r="A57" s="68" t="s">
        <v>34</v>
      </c>
      <c r="B57" s="32">
        <v>0.8</v>
      </c>
      <c r="C57" s="8"/>
      <c r="D57" s="69" t="s">
        <v>51</v>
      </c>
      <c r="E57" s="33">
        <v>-0.1</v>
      </c>
      <c r="F57" s="8"/>
      <c r="G57" s="69" t="s">
        <v>75</v>
      </c>
      <c r="H57" s="32">
        <f>IF(E57=0,B57,IF(E57&gt;0,B57*(1+E57),B57*(1-(ABS(E57)))))</f>
        <v>0.72000000000000008</v>
      </c>
      <c r="I57" s="64"/>
    </row>
    <row r="58" spans="1:9" s="50" customFormat="1" ht="16.5" thickBot="1" x14ac:dyDescent="0.3">
      <c r="A58" s="68" t="s">
        <v>35</v>
      </c>
      <c r="B58" s="32">
        <v>0.9</v>
      </c>
      <c r="C58" s="8"/>
      <c r="D58" s="69" t="s">
        <v>52</v>
      </c>
      <c r="E58" s="33">
        <v>0.1</v>
      </c>
      <c r="F58" s="8"/>
      <c r="G58" s="69" t="s">
        <v>76</v>
      </c>
      <c r="H58" s="32">
        <f>IF(E58=0,B58,IF(E58&gt;0,B58*(1+E58),B58*(1-(ABS(E58)))))</f>
        <v>0.9900000000000001</v>
      </c>
      <c r="I58" s="64"/>
    </row>
    <row r="59" spans="1:9" s="50" customFormat="1" ht="16.5" thickBot="1" x14ac:dyDescent="0.3">
      <c r="A59" s="68" t="s">
        <v>13</v>
      </c>
      <c r="B59" s="32">
        <v>0.75384931506849318</v>
      </c>
      <c r="C59" s="8"/>
      <c r="D59" s="69" t="s">
        <v>53</v>
      </c>
      <c r="E59" s="33">
        <v>0</v>
      </c>
      <c r="F59" s="8"/>
      <c r="G59" s="69" t="s">
        <v>77</v>
      </c>
      <c r="H59" s="32">
        <f>IF(E59=0,B59,IF(E59&gt;0,B59*(1+E59),B59*(1-(ABS(E59)))))</f>
        <v>0.75384931506849318</v>
      </c>
      <c r="I59" s="64"/>
    </row>
    <row r="60" spans="1:9" s="50" customFormat="1" ht="15" x14ac:dyDescent="0.2">
      <c r="A60" s="8"/>
      <c r="B60" s="8"/>
      <c r="C60" s="8"/>
      <c r="D60" s="8"/>
      <c r="E60" s="8"/>
      <c r="F60" s="8"/>
      <c r="G60" s="8"/>
      <c r="H60" s="8"/>
      <c r="I60" s="64"/>
    </row>
    <row r="61" spans="1:9" s="50" customFormat="1" ht="48" thickBot="1" x14ac:dyDescent="0.3">
      <c r="A61" s="8"/>
      <c r="B61" s="70" t="s">
        <v>64</v>
      </c>
      <c r="C61" s="8"/>
      <c r="D61" s="8"/>
      <c r="E61" s="8"/>
      <c r="F61" s="8"/>
      <c r="G61" s="8"/>
      <c r="H61" s="8"/>
      <c r="I61" s="64"/>
    </row>
    <row r="62" spans="1:9" s="50" customFormat="1" ht="16.5" thickBot="1" x14ac:dyDescent="0.3">
      <c r="A62" s="8"/>
      <c r="B62" s="34">
        <f>E17</f>
        <v>-64.322693062156304</v>
      </c>
      <c r="C62" s="71" t="s">
        <v>65</v>
      </c>
      <c r="D62" s="72"/>
      <c r="E62" s="72"/>
      <c r="F62" s="73"/>
      <c r="G62" s="8"/>
      <c r="H62" s="8"/>
      <c r="I62" s="64"/>
    </row>
    <row r="63" spans="1:9" s="50" customFormat="1" ht="15.75" x14ac:dyDescent="0.25">
      <c r="A63" s="8"/>
      <c r="B63" s="35"/>
      <c r="C63" s="74"/>
      <c r="D63" s="64"/>
      <c r="E63" s="64"/>
      <c r="F63" s="8"/>
      <c r="G63" s="8"/>
      <c r="H63" s="8"/>
      <c r="I63" s="64"/>
    </row>
    <row r="64" spans="1:9" s="50" customFormat="1" ht="15.75" thickBot="1" x14ac:dyDescent="0.25">
      <c r="A64" s="8"/>
      <c r="B64" s="75"/>
      <c r="C64" s="8"/>
      <c r="D64" s="8"/>
      <c r="E64" s="8"/>
      <c r="F64" s="8"/>
      <c r="G64" s="8"/>
      <c r="H64" s="8"/>
      <c r="I64" s="64"/>
    </row>
    <row r="65" spans="1:9" s="50" customFormat="1" ht="16.5" thickBot="1" x14ac:dyDescent="0.3">
      <c r="A65" s="8"/>
      <c r="B65" s="36">
        <f>AA3-AA4-AA5</f>
        <v>-306.85769306215627</v>
      </c>
      <c r="C65" s="76" t="s">
        <v>66</v>
      </c>
      <c r="D65" s="72"/>
      <c r="E65" s="72"/>
      <c r="F65" s="73"/>
      <c r="G65" s="8"/>
      <c r="H65" s="8"/>
      <c r="I65" s="64"/>
    </row>
    <row r="66" spans="1:9" s="50" customFormat="1" ht="15" x14ac:dyDescent="0.2">
      <c r="A66" s="8"/>
      <c r="B66" s="8"/>
      <c r="C66" s="77"/>
      <c r="D66" s="77"/>
      <c r="E66" s="77"/>
      <c r="F66" s="8"/>
      <c r="G66" s="8"/>
      <c r="H66" s="8"/>
      <c r="I66" s="64"/>
    </row>
    <row r="67" spans="1:9" s="50" customFormat="1" ht="15.75" x14ac:dyDescent="0.25">
      <c r="A67" s="40" t="s">
        <v>78</v>
      </c>
      <c r="B67" s="8"/>
      <c r="C67" s="8"/>
      <c r="D67" s="8"/>
      <c r="E67" s="8"/>
      <c r="F67" s="8"/>
      <c r="G67" s="8"/>
      <c r="H67" s="8"/>
      <c r="I67" s="64"/>
    </row>
    <row r="68" spans="1:9" s="50" customFormat="1" ht="15" x14ac:dyDescent="0.2">
      <c r="A68" s="68" t="s">
        <v>5</v>
      </c>
      <c r="B68" s="8"/>
      <c r="C68" s="8"/>
      <c r="D68" s="37"/>
      <c r="E68" s="8"/>
      <c r="F68" s="8"/>
      <c r="G68" s="8"/>
      <c r="H68" s="8"/>
      <c r="I68" s="8"/>
    </row>
    <row r="69" spans="1:9" s="50" customFormat="1" ht="15" x14ac:dyDescent="0.2">
      <c r="A69" s="68" t="s">
        <v>6</v>
      </c>
      <c r="B69" s="8"/>
      <c r="C69" s="8"/>
      <c r="D69" s="8"/>
      <c r="E69" s="8"/>
      <c r="F69" s="8"/>
      <c r="G69" s="8"/>
      <c r="H69" s="8"/>
      <c r="I69" s="8"/>
    </row>
    <row r="70" spans="1:9" s="50" customFormat="1" ht="15" x14ac:dyDescent="0.2">
      <c r="A70" s="8"/>
      <c r="B70" s="8"/>
      <c r="C70" s="8"/>
      <c r="D70" s="8"/>
      <c r="E70" s="8"/>
      <c r="F70" s="8"/>
      <c r="G70" s="8"/>
      <c r="H70" s="8"/>
      <c r="I70" s="8"/>
    </row>
    <row r="71" spans="1:9" s="50" customFormat="1" ht="15" x14ac:dyDescent="0.2">
      <c r="A71" s="68" t="s">
        <v>68</v>
      </c>
      <c r="B71" s="8"/>
      <c r="C71" s="8"/>
      <c r="D71" s="8"/>
      <c r="E71" s="8"/>
      <c r="F71" s="8"/>
      <c r="G71" s="8"/>
      <c r="H71" s="8"/>
      <c r="I71" s="8"/>
    </row>
    <row r="72" spans="1:9" s="50" customFormat="1" ht="15" x14ac:dyDescent="0.2">
      <c r="A72" s="78" t="s">
        <v>69</v>
      </c>
      <c r="B72" s="79"/>
      <c r="C72" s="79"/>
      <c r="D72" s="79"/>
      <c r="E72" s="79"/>
      <c r="F72" s="79"/>
      <c r="G72" s="79"/>
      <c r="H72" s="79"/>
      <c r="I72" s="79"/>
    </row>
    <row r="73" spans="1:9" s="50" customFormat="1" ht="15" x14ac:dyDescent="0.2">
      <c r="A73" s="80" t="s">
        <v>7</v>
      </c>
      <c r="B73" s="81"/>
      <c r="C73" s="81"/>
      <c r="D73" s="81"/>
      <c r="E73" s="81"/>
      <c r="F73" s="81"/>
      <c r="G73" s="81"/>
      <c r="H73" s="81"/>
      <c r="I73" s="81"/>
    </row>
    <row r="74" spans="1:9" s="50" customFormat="1" ht="15" x14ac:dyDescent="0.2">
      <c r="A74" s="80" t="s">
        <v>3</v>
      </c>
      <c r="B74" s="81"/>
      <c r="C74" s="81"/>
      <c r="D74" s="81"/>
      <c r="E74" s="81"/>
      <c r="F74" s="81"/>
      <c r="G74" s="81"/>
      <c r="H74" s="81"/>
      <c r="I74" s="81"/>
    </row>
    <row r="75" spans="1:9" s="50" customFormat="1" ht="15" x14ac:dyDescent="0.2">
      <c r="A75" s="92" t="s">
        <v>88</v>
      </c>
      <c r="B75" s="82"/>
      <c r="C75" s="82"/>
      <c r="D75" s="82"/>
      <c r="E75" s="82"/>
      <c r="F75" s="82"/>
      <c r="G75" s="82"/>
      <c r="H75" s="82"/>
      <c r="I75" s="82"/>
    </row>
    <row r="77" spans="1:9" ht="15.75" x14ac:dyDescent="0.25">
      <c r="A77" s="93" t="s">
        <v>89</v>
      </c>
    </row>
  </sheetData>
  <phoneticPr fontId="12" type="noConversion"/>
  <conditionalFormatting sqref="E57:E59">
    <cfRule type="cellIs" dxfId="2" priority="1" stopIfTrue="1" operator="lessThan">
      <formula>0</formula>
    </cfRule>
  </conditionalFormatting>
  <conditionalFormatting sqref="B65">
    <cfRule type="cellIs" dxfId="1" priority="2" stopIfTrue="1" operator="lessThan">
      <formula>0</formula>
    </cfRule>
  </conditionalFormatting>
  <conditionalFormatting sqref="B62:B63">
    <cfRule type="cellIs" dxfId="0" priority="3" stopIfTrue="1" operator="lessThan">
      <formula>0</formula>
    </cfRule>
  </conditionalFormatting>
  <hyperlinks>
    <hyperlink ref="A75" r:id="rId1" xr:uid="{85CDC1DF-E0B0-480B-A0B8-125D29048EF7}"/>
  </hyperlinks>
  <printOptions horizontalCentered="1"/>
  <pageMargins left="0.25" right="0.25" top="0.5" bottom="0.38" header="0.4" footer="0.2"/>
  <pageSetup scale="28" orientation="portrait" blackAndWhite="1"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FeedNotes</vt:lpstr>
      <vt:lpstr>Backgrounder</vt:lpstr>
    </vt:vector>
  </TitlesOfParts>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Molenhuis</dc:creator>
  <cp:lastModifiedBy>Molenhuis, John (OMAFRA)</cp:lastModifiedBy>
  <cp:lastPrinted>2005-06-03T18:08:52Z</cp:lastPrinted>
  <dcterms:created xsi:type="dcterms:W3CDTF">2003-10-17T15:08:57Z</dcterms:created>
  <dcterms:modified xsi:type="dcterms:W3CDTF">2020-04-29T20:21:44Z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2020-04-29T16:55:38.9163021Z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a44334b6-28c3-43a0-b960-18ade5de4a22</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ies>
</file>