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1" documentId="13_ncr:1_{1E48C093-84A9-4F85-B556-1683ABC71C93}" xr6:coauthVersionLast="47" xr6:coauthVersionMax="47" xr10:uidLastSave="{0C1D41BD-3814-4E91-A9AD-65CCF86084D8}"/>
  <bookViews>
    <workbookView xWindow="10971" yWindow="0" windowWidth="10972" windowHeight="11743" xr2:uid="{00000000-000D-0000-FFFF-FFFF00000000}"/>
  </bookViews>
  <sheets>
    <sheet name="SWITCHGRASS" sheetId="1" r:id="rId1"/>
  </sheets>
  <definedNames>
    <definedName name="_Key1" localSheetId="0" hidden="1">SWITCHGRASS!$HW$39:$HW$42</definedName>
    <definedName name="_Key1" hidden="1">#REF!</definedName>
    <definedName name="_Order1" hidden="1">255</definedName>
    <definedName name="_Parse_In" localSheetId="0" hidden="1">SWITCHGRASS!$H$87:$H$88</definedName>
    <definedName name="_Parse_In" hidden="1">#REF!</definedName>
    <definedName name="_Parse_Out" localSheetId="0" hidden="1">SWITCHGRASS!$H$90</definedName>
    <definedName name="_Parse_Out" hidden="1">#REF!</definedName>
    <definedName name="_Regression_Int" localSheetId="0" hidden="1">1</definedName>
    <definedName name="_Sort" localSheetId="0" hidden="1">SWITCHGRASS!$HV$39:$IB$42</definedName>
    <definedName name="_Sort" hidden="1">#REF!</definedName>
    <definedName name="_Table2_In1" localSheetId="0" hidden="1">SWITCHGRASS!$BA$49</definedName>
    <definedName name="_Table2_In1" hidden="1">#REF!</definedName>
    <definedName name="_Table2_In2" localSheetId="0" hidden="1">SWITCHGRASS!$BA$50</definedName>
    <definedName name="_Table2_In2" hidden="1">#REF!</definedName>
    <definedName name="_Table2_Out" localSheetId="0" hidden="1">SWITCHGRASS!$BB$15:$BJ$47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8" i="1" l="1"/>
  <c r="I148" i="1" s="1"/>
  <c r="AA183" i="1"/>
  <c r="E99" i="1" s="1"/>
  <c r="AA184" i="1" s="1"/>
  <c r="F99" i="1" s="1"/>
  <c r="AA13" i="1" s="1"/>
  <c r="K18" i="1" s="1"/>
  <c r="AA177" i="1"/>
  <c r="E94" i="1" s="1"/>
  <c r="AA179" i="1" s="1"/>
  <c r="H94" i="1" s="1"/>
  <c r="AA178" i="1" s="1"/>
  <c r="G94" i="1" s="1"/>
  <c r="AA169" i="1"/>
  <c r="E91" i="1" s="1"/>
  <c r="AA171" i="1" s="1"/>
  <c r="H91" i="1" s="1"/>
  <c r="AA170" i="1" s="1"/>
  <c r="G91" i="1" s="1"/>
  <c r="AA166" i="1"/>
  <c r="E90" i="1" s="1"/>
  <c r="AA168" i="1" s="1"/>
  <c r="H90" i="1" s="1"/>
  <c r="AA161" i="1"/>
  <c r="E85" i="1" s="1"/>
  <c r="AA146" i="1"/>
  <c r="E79" i="1" s="1"/>
  <c r="AA148" i="1" s="1"/>
  <c r="H79" i="1" s="1"/>
  <c r="AA147" i="1" s="1"/>
  <c r="G79" i="1" s="1"/>
  <c r="AA149" i="1"/>
  <c r="E80" i="1" s="1"/>
  <c r="AA151" i="1" s="1"/>
  <c r="H80" i="1" s="1"/>
  <c r="AA150" i="1" s="1"/>
  <c r="G80" i="1" s="1"/>
  <c r="AA152" i="1"/>
  <c r="E81" i="1" s="1"/>
  <c r="AA154" i="1" s="1"/>
  <c r="H81" i="1" s="1"/>
  <c r="AA153" i="1" s="1"/>
  <c r="G81" i="1" s="1"/>
  <c r="AA155" i="1"/>
  <c r="E82" i="1" s="1"/>
  <c r="AA157" i="1" s="1"/>
  <c r="H82" i="1" s="1"/>
  <c r="AA156" i="1" s="1"/>
  <c r="G82" i="1" s="1"/>
  <c r="AA158" i="1"/>
  <c r="E83" i="1" s="1"/>
  <c r="AA160" i="1" s="1"/>
  <c r="H83" i="1" s="1"/>
  <c r="AA159" i="1" s="1"/>
  <c r="G83" i="1" s="1"/>
  <c r="AA101" i="1"/>
  <c r="G61" i="1" s="1"/>
  <c r="AA102" i="1" s="1"/>
  <c r="H61" i="1" s="1"/>
  <c r="AA103" i="1"/>
  <c r="G62" i="1" s="1"/>
  <c r="AA104" i="1" s="1"/>
  <c r="H62" i="1" s="1"/>
  <c r="AA105" i="1"/>
  <c r="G63" i="1" s="1"/>
  <c r="AA106" i="1" s="1"/>
  <c r="H63" i="1" s="1"/>
  <c r="AA121" i="1"/>
  <c r="G66" i="1"/>
  <c r="AA122" i="1" s="1"/>
  <c r="H66" i="1" s="1"/>
  <c r="AA123" i="1"/>
  <c r="G67" i="1" s="1"/>
  <c r="AA124" i="1" s="1"/>
  <c r="H67" i="1" s="1"/>
  <c r="AA132" i="1"/>
  <c r="F70" i="1"/>
  <c r="AA131" i="1"/>
  <c r="E70" i="1" s="1"/>
  <c r="AA135" i="1"/>
  <c r="G71" i="1" s="1"/>
  <c r="AA136" i="1" s="1"/>
  <c r="H71" i="1" s="1"/>
  <c r="AA35" i="1" s="1"/>
  <c r="K28" i="1" s="1"/>
  <c r="AA139" i="1"/>
  <c r="G72" i="1" s="1"/>
  <c r="AA140" i="1" s="1"/>
  <c r="H72" i="1" s="1"/>
  <c r="AA141" i="1"/>
  <c r="G74" i="1" s="1"/>
  <c r="AA142" i="1" s="1"/>
  <c r="H74" i="1" s="1"/>
  <c r="AA38" i="1" s="1"/>
  <c r="K29" i="1" s="1"/>
  <c r="AA144" i="1"/>
  <c r="G75" i="1" s="1"/>
  <c r="AA145" i="1" s="1"/>
  <c r="H75" i="1" s="1"/>
  <c r="AA82" i="1"/>
  <c r="G47" i="1" s="1"/>
  <c r="AA84" i="1"/>
  <c r="G48" i="1" s="1"/>
  <c r="AA85" i="1" s="1"/>
  <c r="H48" i="1" s="1"/>
  <c r="AA86" i="1"/>
  <c r="G49" i="1" s="1"/>
  <c r="AA87" i="1" s="1"/>
  <c r="H49" i="1" s="1"/>
  <c r="AA88" i="1"/>
  <c r="G50" i="1" s="1"/>
  <c r="AA89" i="1" s="1"/>
  <c r="H50" i="1" s="1"/>
  <c r="AA17" i="1"/>
  <c r="G25" i="1" s="1"/>
  <c r="AA19" i="1"/>
  <c r="G26" i="1" s="1"/>
  <c r="AA20" i="1" s="1"/>
  <c r="H26" i="1" s="1"/>
  <c r="AA41" i="1"/>
  <c r="G28" i="1" s="1"/>
  <c r="AA42" i="1" s="1"/>
  <c r="H28" i="1" s="1"/>
  <c r="AA43" i="1"/>
  <c r="G29" i="1" s="1"/>
  <c r="AA44" i="1" s="1"/>
  <c r="H29" i="1" s="1"/>
  <c r="AA58" i="1"/>
  <c r="G30" i="1" s="1"/>
  <c r="AA59" i="1" s="1"/>
  <c r="H30" i="1" s="1"/>
  <c r="AA60" i="1"/>
  <c r="G31" i="1" s="1"/>
  <c r="AA61" i="1" s="1"/>
  <c r="H31" i="1" s="1"/>
  <c r="AA62" i="1"/>
  <c r="G32" i="1" s="1"/>
  <c r="AA63" i="1" s="1"/>
  <c r="H32" i="1" s="1"/>
  <c r="AA64" i="1"/>
  <c r="G33" i="1" s="1"/>
  <c r="AA65" i="1" s="1"/>
  <c r="H33" i="1" s="1"/>
  <c r="AA66" i="1"/>
  <c r="G34" i="1" s="1"/>
  <c r="AA67" i="1" s="1"/>
  <c r="H34" i="1" s="1"/>
  <c r="AA68" i="1"/>
  <c r="G35" i="1" s="1"/>
  <c r="AA69" i="1" s="1"/>
  <c r="H35" i="1" s="1"/>
  <c r="AA70" i="1"/>
  <c r="G37" i="1" s="1"/>
  <c r="AA71" i="1" s="1"/>
  <c r="H37" i="1" s="1"/>
  <c r="AA72" i="1"/>
  <c r="G38" i="1" s="1"/>
  <c r="AA73" i="1" s="1"/>
  <c r="H38" i="1" s="1"/>
  <c r="AA74" i="1"/>
  <c r="G39" i="1" s="1"/>
  <c r="AA75" i="1" s="1"/>
  <c r="H39" i="1" s="1"/>
  <c r="AA76" i="1"/>
  <c r="G40" i="1" s="1"/>
  <c r="AA77" i="1" s="1"/>
  <c r="H40" i="1" s="1"/>
  <c r="AA78" i="1"/>
  <c r="G41" i="1" s="1"/>
  <c r="AA79" i="1" s="1"/>
  <c r="H41" i="1" s="1"/>
  <c r="AA174" i="1"/>
  <c r="E93" i="1" s="1"/>
  <c r="AA176" i="1" s="1"/>
  <c r="H93" i="1" s="1"/>
  <c r="AA175" i="1" s="1"/>
  <c r="G93" i="1" s="1"/>
  <c r="AA173" i="1"/>
  <c r="H92" i="1" s="1"/>
  <c r="AA172" i="1" s="1"/>
  <c r="G92" i="1" s="1"/>
  <c r="A59" i="1"/>
  <c r="AA137" i="1"/>
  <c r="AA138" i="1"/>
  <c r="AA129" i="1"/>
  <c r="AA130" i="1"/>
  <c r="AA143" i="1"/>
  <c r="AA47" i="1"/>
  <c r="AA48" i="1"/>
  <c r="AA50" i="1"/>
  <c r="AA51" i="1"/>
  <c r="AA52" i="1"/>
  <c r="AA53" i="1"/>
  <c r="AA54" i="1"/>
  <c r="AA55" i="1"/>
  <c r="AA56" i="1"/>
  <c r="AA57" i="1"/>
  <c r="AA97" i="1"/>
  <c r="AA98" i="1"/>
  <c r="AA99" i="1"/>
  <c r="AA100" i="1"/>
  <c r="AA107" i="1"/>
  <c r="AA108" i="1"/>
  <c r="AA109" i="1"/>
  <c r="AA110" i="1"/>
  <c r="AA111" i="1"/>
  <c r="AA112" i="1"/>
  <c r="AA113" i="1"/>
  <c r="AA114" i="1"/>
  <c r="AA115" i="1"/>
  <c r="AA116" i="1"/>
  <c r="AA117" i="1"/>
  <c r="AA118" i="1"/>
  <c r="AA119" i="1"/>
  <c r="AA120" i="1"/>
  <c r="AA125" i="1"/>
  <c r="AA126" i="1"/>
  <c r="AA127" i="1"/>
  <c r="AA128" i="1"/>
  <c r="AA6" i="1"/>
  <c r="D16" i="1" s="1"/>
  <c r="AA45" i="1" s="1"/>
  <c r="K33" i="1" s="1"/>
  <c r="AA186" i="1"/>
  <c r="AA96" i="1"/>
  <c r="AA40" i="1"/>
  <c r="AA39" i="1"/>
  <c r="AA37" i="1"/>
  <c r="AA36" i="1"/>
  <c r="AA33" i="1"/>
  <c r="AA32" i="1"/>
  <c r="AA30" i="1"/>
  <c r="AA29" i="1"/>
  <c r="AA27" i="1"/>
  <c r="AA26" i="1"/>
  <c r="AA25" i="1"/>
  <c r="AA24" i="1"/>
  <c r="AA23" i="1"/>
  <c r="AA22" i="1"/>
  <c r="AA21" i="1"/>
  <c r="K23" i="1"/>
  <c r="AA16" i="1"/>
  <c r="K21" i="1" s="1"/>
  <c r="AA15" i="1"/>
  <c r="K20" i="1" s="1"/>
  <c r="AA8" i="1"/>
  <c r="K15" i="1" s="1"/>
  <c r="AA5" i="1"/>
  <c r="G9" i="1"/>
  <c r="AA4" i="1"/>
  <c r="E9" i="1"/>
  <c r="AA3" i="1"/>
  <c r="C9" i="1" s="1"/>
  <c r="AA133" i="1" l="1"/>
  <c r="G70" i="1" s="1"/>
  <c r="AA134" i="1" s="1"/>
  <c r="H70" i="1" s="1"/>
  <c r="AA46" i="1" s="1"/>
  <c r="K34" i="1" s="1"/>
  <c r="AA49" i="1" s="1"/>
  <c r="K35" i="1" s="1"/>
  <c r="AA83" i="1"/>
  <c r="H47" i="1" s="1"/>
  <c r="AA91" i="1" s="1"/>
  <c r="AA90" i="1"/>
  <c r="AA28" i="1"/>
  <c r="K25" i="1" s="1"/>
  <c r="AA182" i="1"/>
  <c r="J120" i="1" s="1"/>
  <c r="AA163" i="1" s="1"/>
  <c r="H85" i="1" s="1"/>
  <c r="AA162" i="1" s="1"/>
  <c r="G85" i="1" s="1"/>
  <c r="AA167" i="1"/>
  <c r="G90" i="1" s="1"/>
  <c r="AA181" i="1"/>
  <c r="H96" i="1" s="1"/>
  <c r="AA206" i="1"/>
  <c r="I147" i="1" s="1"/>
  <c r="AA209" i="1" s="1"/>
  <c r="I149" i="1" s="1"/>
  <c r="AA80" i="1"/>
  <c r="AA18" i="1"/>
  <c r="H25" i="1" s="1"/>
  <c r="AA81" i="1" s="1"/>
  <c r="H43" i="1" s="1"/>
  <c r="AA11" i="1"/>
  <c r="D19" i="1" s="1"/>
  <c r="AA31" i="1"/>
  <c r="K26" i="1" s="1"/>
  <c r="AA200" i="1" l="1"/>
  <c r="G116" i="1" s="1"/>
  <c r="H116" i="1" s="1"/>
  <c r="AA14" i="1"/>
  <c r="K19" i="1" s="1"/>
  <c r="AA192" i="1"/>
  <c r="F104" i="1" s="1"/>
  <c r="AA191" i="1" s="1"/>
  <c r="E104" i="1" s="1"/>
  <c r="AA196" i="1" s="1"/>
  <c r="G109" i="1" s="1"/>
  <c r="AA180" i="1"/>
  <c r="G96" i="1" s="1"/>
  <c r="AA12" i="1"/>
  <c r="K17" i="1" s="1"/>
  <c r="AA92" i="1"/>
  <c r="AA7" i="1"/>
  <c r="D17" i="1" s="1"/>
  <c r="AA9" i="1"/>
  <c r="D18" i="1" s="1"/>
  <c r="AA185" i="1" s="1"/>
  <c r="AA93" i="1"/>
  <c r="H54" i="1" s="1"/>
  <c r="AA95" i="1" s="1"/>
  <c r="H58" i="1" s="1"/>
  <c r="H52" i="1"/>
  <c r="AA94" i="1" l="1"/>
  <c r="G58" i="1" s="1"/>
  <c r="AA165" i="1"/>
  <c r="H87" i="1" s="1"/>
  <c r="AA34" i="1"/>
  <c r="K27" i="1" s="1"/>
  <c r="AA188" i="1" l="1"/>
  <c r="F101" i="1" s="1"/>
  <c r="AA10" i="1"/>
  <c r="K16" i="1" s="1"/>
  <c r="AA164" i="1"/>
  <c r="G87" i="1" s="1"/>
  <c r="AA187" i="1" l="1"/>
  <c r="E101" i="1" s="1"/>
  <c r="AA195" i="1" s="1"/>
  <c r="G108" i="1" s="1"/>
  <c r="AA197" i="1" s="1"/>
  <c r="G111" i="1" s="1"/>
  <c r="AA190" i="1"/>
  <c r="F103" i="1" s="1"/>
  <c r="AA194" i="1" l="1"/>
  <c r="F106" i="1" s="1"/>
  <c r="AA189" i="1"/>
  <c r="E103" i="1" s="1"/>
  <c r="AA193" i="1" s="1"/>
  <c r="E106" i="1" s="1"/>
  <c r="AA2" i="1" l="1"/>
  <c r="H3" i="1" s="1"/>
  <c r="AA204" i="1"/>
  <c r="I146" i="1" s="1"/>
  <c r="AA205" i="1" l="1"/>
  <c r="C124" i="1" s="1"/>
  <c r="AA202" i="1"/>
  <c r="C122" i="1" s="1"/>
  <c r="AA203" i="1"/>
  <c r="C123" i="1" s="1"/>
  <c r="AA211" i="1"/>
  <c r="J151" i="1" s="1"/>
  <c r="AA210" i="1"/>
  <c r="I151" i="1" s="1"/>
  <c r="AA207" i="1"/>
  <c r="C125" i="1" s="1"/>
  <c r="AA201" i="1"/>
  <c r="C121" i="1" s="1"/>
  <c r="AA214" i="1" l="1"/>
  <c r="I153" i="1" s="1"/>
  <c r="AA212" i="1"/>
  <c r="I152" i="1" s="1"/>
  <c r="AA215" i="1"/>
  <c r="J153" i="1" s="1"/>
  <c r="AA213" i="1"/>
  <c r="J152" i="1" s="1"/>
  <c r="AA216" i="1" l="1"/>
  <c r="I154" i="1" s="1"/>
  <c r="AA198" i="1" s="1"/>
  <c r="G113" i="1" s="1"/>
  <c r="AA217" i="1"/>
  <c r="J154" i="1" s="1"/>
  <c r="AA199"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sz val="12"/>
            <color indexed="81"/>
            <rFont val="Tahoma"/>
            <family val="2"/>
          </rPr>
          <t>L’estimation optimiste est le rendement auquel vous pourriez raisonnablement vous attendre au moins une année sur six.</t>
        </r>
      </text>
    </comment>
    <comment ref="E6" authorId="0" shapeId="0" xr:uid="{00000000-0006-0000-0000-000002000000}">
      <text>
        <r>
          <rPr>
            <sz val="12"/>
            <color indexed="81"/>
            <rFont val="Tahoma"/>
            <family val="2"/>
          </rPr>
          <t>Le rendement anticipé est le rendement que vous vous attendez d’obtenir cette année.</t>
        </r>
      </text>
    </comment>
    <comment ref="G6"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40"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83" authorId="1" shapeId="0" xr:uid="{00000000-0006-0000-0000-000005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94" authorId="1" shapeId="0" xr:uid="{00000000-0006-0000-0000-000006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16" authorId="0" shapeId="0" xr:uid="{00000000-0006-0000-0000-000007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<sst xmlns="http://schemas.openxmlformats.org/spreadsheetml/2006/main" count="238" uniqueCount="151">
  <si>
    <t>-------</t>
  </si>
  <si>
    <t xml:space="preserve">  ------</t>
  </si>
  <si>
    <t>-</t>
  </si>
  <si>
    <t xml:space="preserve">  -------</t>
  </si>
  <si>
    <t>Allo!C3..J14</t>
  </si>
  <si>
    <t>no.</t>
  </si>
  <si>
    <t xml:space="preserve">      1.</t>
  </si>
  <si>
    <t>kg or l</t>
  </si>
  <si>
    <t>Grip prob factor (component of grip)</t>
  </si>
  <si>
    <t>N/A</t>
  </si>
  <si>
    <t xml:space="preserve">      2.</t>
  </si>
  <si>
    <t>C.I. prob factor (component of Crop Insurance)</t>
  </si>
  <si>
    <t xml:space="preserve">      3.</t>
  </si>
  <si>
    <t>ac</t>
  </si>
  <si>
    <t>$</t>
  </si>
  <si>
    <t>---</t>
  </si>
  <si>
    <t>_______________</t>
  </si>
  <si>
    <t xml:space="preserve"> Enterprise</t>
  </si>
  <si>
    <t xml:space="preserve"> $/Acre</t>
  </si>
  <si>
    <t xml:space="preserve"> $ Allocated</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</si>
  <si>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</si>
  <si>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</si>
  <si>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</si>
  <si>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</si>
  <si>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</si>
  <si>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</si>
  <si>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</si>
  <si>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</si>
  <si>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</si>
  <si>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</si>
  <si>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</si>
  <si>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</si>
  <si>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</si>
  <si>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</si>
  <si>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</si>
  <si>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</si>
  <si>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</si>
  <si>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</si>
  <si>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</si>
  <si>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</si>
  <si>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</si>
  <si>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</si>
  <si>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</si>
  <si>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</si>
  <si>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lbs</t>
  </si>
  <si>
    <t xml:space="preserve"> Glyphosate</t>
  </si>
  <si>
    <t xml:space="preserve"> Herbicides</t>
  </si>
  <si>
    <t>Nombre d'acres =</t>
  </si>
  <si>
    <t>Retourner par acre:</t>
  </si>
  <si>
    <t xml:space="preserve">  Optimiste</t>
  </si>
  <si>
    <t xml:space="preserve">  Anticipé</t>
  </si>
  <si>
    <t xml:space="preserve"> Pessimiste</t>
  </si>
  <si>
    <t>Rendement-t.m./ac</t>
  </si>
  <si>
    <t>Prix - $/t.m.</t>
  </si>
  <si>
    <t>Production - t.m.</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</si>
  <si>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</si>
  <si>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</si>
  <si>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</si>
  <si>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</si>
  <si>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</si>
  <si>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</si>
  <si>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</si>
  <si>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Taux d'intérêt actuel</t>
  </si>
  <si>
    <t>Taux d'inflation actuel</t>
  </si>
  <si>
    <t>Unité/ac</t>
  </si>
  <si>
    <t>Nombre</t>
  </si>
  <si>
    <t>Frais/unité</t>
  </si>
  <si>
    <t>$/acre</t>
  </si>
  <si>
    <t>$/année</t>
  </si>
  <si>
    <t>Frais</t>
  </si>
  <si>
    <t xml:space="preserve"> Inoculant</t>
  </si>
  <si>
    <t xml:space="preserve"> Engrais        </t>
  </si>
  <si>
    <t xml:space="preserve"> Assurance-récolte</t>
  </si>
  <si>
    <t xml:space="preserve"> Travail à forfait:</t>
  </si>
  <si>
    <t xml:space="preserve"> Carburant</t>
  </si>
  <si>
    <t xml:space="preserve"> Rép./entr. machinerie</t>
  </si>
  <si>
    <t xml:space="preserve"> Loyer et main-d'oeuvre</t>
  </si>
  <si>
    <t xml:space="preserve"> Main-d'oeuvre</t>
  </si>
  <si>
    <t xml:space="preserve"> Frais variables généraux</t>
  </si>
  <si>
    <t xml:space="preserve"> Intérêts sur le</t>
  </si>
  <si>
    <t xml:space="preserve"> Intérêts sur le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</si>
  <si>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</si>
  <si>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</si>
  <si>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</si>
  <si>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</si>
  <si>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</si>
  <si>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</si>
  <si>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</si>
  <si>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 xml:space="preserve"> Engrais:</t>
  </si>
  <si>
    <t xml:space="preserve"> Autres frais:</t>
  </si>
  <si>
    <t xml:space="preserve"> Corde à presser</t>
  </si>
  <si>
    <t xml:space="preserve">petite balle </t>
  </si>
  <si>
    <t>Assurance</t>
  </si>
  <si>
    <t xml:space="preserve"> Rép./entr. bâtiments</t>
  </si>
  <si>
    <t xml:space="preserve"> capital d'exploitation</t>
  </si>
  <si>
    <t>% intérêt</t>
  </si>
  <si>
    <t xml:space="preserve"> % annuel</t>
  </si>
  <si>
    <t>Comparaison</t>
  </si>
  <si>
    <t xml:space="preserve"> $/acre</t>
  </si>
  <si>
    <t>Revenus:</t>
  </si>
  <si>
    <t>Total des revenus anticipés</t>
  </si>
  <si>
    <t xml:space="preserve">  moins: frais variables</t>
  </si>
  <si>
    <t>Marge d'exploitation anticipée</t>
  </si>
  <si>
    <t xml:space="preserve">  moins: frais fixes</t>
  </si>
  <si>
    <t>Revenu net anticipé</t>
  </si>
  <si>
    <t xml:space="preserve">   Montant en $/t.m.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</si>
  <si>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</si>
  <si>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</si>
  <si>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</si>
  <si>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</si>
  <si>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</si>
  <si>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</si>
  <si>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</si>
  <si>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</si>
  <si>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 xml:space="preserve">  Autre</t>
  </si>
  <si>
    <t xml:space="preserve">FRAIS D'ÉTABLISSEMENT: </t>
  </si>
  <si>
    <t>Total des frais variables à l'établissement</t>
  </si>
  <si>
    <t>Total des frais fixes à l'établissement</t>
  </si>
  <si>
    <t>TOTAL DES FRAIS à L'ÉTABLISSEMENT</t>
  </si>
  <si>
    <t>FRAIS DE PRODUCTION ANNUELS:</t>
  </si>
  <si>
    <t xml:space="preserve"> Contribution à l'établissement: entrée directe</t>
  </si>
  <si>
    <t>Application d'engrais</t>
  </si>
  <si>
    <t>Application chimique</t>
  </si>
  <si>
    <t>Emballotter l'emballage</t>
  </si>
  <si>
    <t xml:space="preserve"> Semence</t>
  </si>
  <si>
    <t>Années anticipé de moisson</t>
  </si>
  <si>
    <t>Pourcent anticipé de moisson dans l'année d'établissement:</t>
  </si>
  <si>
    <t>$/acre de Retourner =</t>
  </si>
  <si>
    <t>$ de Retourner</t>
  </si>
  <si>
    <t>ce 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</si>
  <si>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</si>
  <si>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</si>
  <si>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</si>
  <si>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</si>
  <si>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</si>
  <si>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</si>
  <si>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Risque peu élevé</t>
  </si>
  <si>
    <t>Risque moyen</t>
  </si>
  <si>
    <t>Risque élevé</t>
  </si>
  <si>
    <t>Coefficient de variance                     ==&gt;</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</si>
  <si>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</si>
  <si>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</si>
  <si>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</si>
  <si>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</si>
  <si>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</si>
  <si>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 xml:space="preserve">   BUDGET DE L'ENTREPRISE: PANIC ÉRIGÉ SEMENCE DIRECTE SEMIS DIRECT</t>
  </si>
  <si>
    <t>N</t>
  </si>
  <si>
    <t>fin de la feuille de calcul</t>
  </si>
  <si>
    <t>n</t>
  </si>
  <si>
    <t>contre les mauvaises herbes à feuilles larges et les graminées annuelles</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</si>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</sst>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
    <numFmt numFmtId="166" formatCode="0.00_)"/>
    <numFmt numFmtId="167" formatCode="0.000_)"/>
    <numFmt numFmtId="168" formatCode="0_)"/>
    <numFmt numFmtId="169" formatCode="0.0%"/>
    <numFmt numFmtId="170" formatCode="#,##0\ [$$-C0C]_-;#,##0\ [$$-C0C]\-"/>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
      <sz val="10"/>
      <name val="Courier"/>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0"/>
      </left>
      <right/>
      <top/>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5" fillId="0" borderId="0"/>
  </cellStyleXfs>
  <cellXfs count="144">
    <xf numFmtId="0" fontId="0" fillId="0" borderId="0" xfId="0"/>
    <xf numFmtId="0" fontId="6" fillId="2" borderId="9" xfId="3" applyFont="1" applyFill="1" applyBorder="1" applyAlignment="1" applyProtection="1">
      <alignment horizontal="left"/>
    </xf>
    <xf numFmtId="0" fontId="6" fillId="2" borderId="1" xfId="3" applyFont="1" applyFill="1" applyBorder="1" applyAlignment="1" applyProtection="1">
      <alignment horizontal="left"/>
    </xf>
    <xf numFmtId="0" fontId="6" fillId="2" borderId="1" xfId="7" applyFont="1" applyFill="1" applyBorder="1"/>
    <xf numFmtId="0" fontId="6" fillId="2" borderId="1" xfId="4" applyFont="1" applyFill="1" applyBorder="1" applyAlignment="1" applyProtection="1">
      <alignment horizontal="left"/>
    </xf>
    <xf numFmtId="0" fontId="6" fillId="2" borderId="2" xfId="7" applyFont="1" applyFill="1" applyBorder="1"/>
    <xf numFmtId="0" fontId="6" fillId="0" borderId="0" xfId="7" applyFont="1"/>
    <xf numFmtId="0" fontId="7" fillId="0" borderId="0" xfId="7" applyFont="1"/>
    <xf numFmtId="168" fontId="7" fillId="0" borderId="0" xfId="7" applyNumberFormat="1" applyFont="1"/>
    <xf numFmtId="165" fontId="6" fillId="2" borderId="3" xfId="7" applyNumberFormat="1" applyFont="1" applyFill="1" applyBorder="1" applyProtection="1"/>
    <xf numFmtId="0" fontId="6" fillId="2" borderId="0" xfId="7" applyFont="1" applyFill="1" applyBorder="1"/>
    <xf numFmtId="165" fontId="6" fillId="2" borderId="0" xfId="7" applyNumberFormat="1" applyFont="1" applyFill="1" applyBorder="1" applyProtection="1"/>
    <xf numFmtId="0" fontId="6" fillId="2" borderId="0" xfId="4" applyFont="1" applyFill="1" applyBorder="1" applyAlignment="1" applyProtection="1">
      <alignment horizontal="left"/>
    </xf>
    <xf numFmtId="170" fontId="6" fillId="2" borderId="5" xfId="7" applyNumberFormat="1" applyFont="1" applyFill="1" applyBorder="1" applyAlignment="1" applyProtection="1">
      <alignment horizontal="center"/>
    </xf>
    <xf numFmtId="0" fontId="6" fillId="2" borderId="3" xfId="7" applyFont="1" applyFill="1" applyBorder="1"/>
    <xf numFmtId="0" fontId="4" fillId="5" borderId="0" xfId="0" applyFont="1" applyFill="1"/>
    <xf numFmtId="0" fontId="8" fillId="3" borderId="6" xfId="7" applyFont="1" applyFill="1" applyBorder="1" applyAlignment="1" applyProtection="1">
      <alignment horizontal="center"/>
      <protection locked="0"/>
    </xf>
    <xf numFmtId="0" fontId="6" fillId="2" borderId="0" xfId="7" applyFont="1" applyFill="1" applyBorder="1" applyAlignment="1" applyProtection="1">
      <alignment horizontal="left"/>
    </xf>
    <xf numFmtId="0" fontId="6" fillId="2" borderId="0" xfId="7" applyFont="1" applyFill="1" applyBorder="1" applyProtection="1"/>
    <xf numFmtId="0" fontId="6" fillId="2" borderId="5" xfId="7" applyFont="1" applyFill="1" applyBorder="1" applyAlignment="1" applyProtection="1">
      <alignment horizontal="left"/>
    </xf>
    <xf numFmtId="0" fontId="6" fillId="4" borderId="7" xfId="7" applyFont="1" applyFill="1" applyBorder="1" applyAlignment="1" applyProtection="1">
      <alignment horizontal="fill"/>
    </xf>
    <xf numFmtId="0" fontId="6" fillId="2" borderId="3" xfId="7" applyFont="1" applyFill="1" applyBorder="1" applyProtection="1"/>
    <xf numFmtId="0" fontId="6" fillId="2" borderId="0" xfId="9" applyFont="1" applyFill="1" applyBorder="1" applyAlignment="1" applyProtection="1">
      <alignment horizontal="left"/>
    </xf>
    <xf numFmtId="0" fontId="6" fillId="2" borderId="0" xfId="9" applyFont="1" applyFill="1" applyBorder="1"/>
    <xf numFmtId="0" fontId="6" fillId="2" borderId="0" xfId="9" applyFont="1" applyFill="1" applyBorder="1" applyAlignment="1" applyProtection="1">
      <alignment horizontal="center"/>
    </xf>
    <xf numFmtId="0" fontId="6" fillId="2" borderId="0" xfId="9" applyFont="1" applyFill="1" applyBorder="1" applyAlignment="1">
      <alignment horizontal="center"/>
    </xf>
    <xf numFmtId="0" fontId="6" fillId="2" borderId="5" xfId="7" applyFont="1" applyFill="1" applyBorder="1" applyProtection="1"/>
    <xf numFmtId="0" fontId="6" fillId="2" borderId="3" xfId="3" applyFont="1" applyFill="1" applyBorder="1" applyAlignment="1" applyProtection="1">
      <alignment horizontal="left"/>
    </xf>
    <xf numFmtId="0" fontId="8" fillId="3" borderId="4" xfId="7" applyFont="1" applyFill="1" applyBorder="1" applyAlignment="1" applyProtection="1">
      <alignment horizontal="center"/>
      <protection locked="0"/>
    </xf>
    <xf numFmtId="0" fontId="6" fillId="2" borderId="5" xfId="7" applyFont="1" applyFill="1" applyBorder="1"/>
    <xf numFmtId="166" fontId="8" fillId="3" borderId="4" xfId="7" applyNumberFormat="1" applyFont="1" applyFill="1" applyBorder="1" applyAlignment="1" applyProtection="1">
      <alignment horizontal="center"/>
      <protection locked="0"/>
    </xf>
    <xf numFmtId="168" fontId="6" fillId="2" borderId="0" xfId="7" applyNumberFormat="1" applyFont="1" applyFill="1" applyBorder="1" applyAlignment="1" applyProtection="1">
      <alignment horizontal="center"/>
    </xf>
    <xf numFmtId="0" fontId="6" fillId="2" borderId="3" xfId="7" applyFont="1" applyFill="1" applyBorder="1" applyAlignment="1" applyProtection="1">
      <alignment horizontal="left"/>
    </xf>
    <xf numFmtId="0" fontId="6" fillId="2" borderId="10" xfId="7" applyFont="1" applyFill="1" applyBorder="1" applyAlignment="1" applyProtection="1">
      <alignment horizontal="left"/>
    </xf>
    <xf numFmtId="9" fontId="8" fillId="6" borderId="4" xfId="7" applyNumberFormat="1" applyFont="1" applyFill="1" applyBorder="1" applyAlignment="1" applyProtection="1">
      <alignment horizontal="center"/>
    </xf>
    <xf numFmtId="0" fontId="6" fillId="2" borderId="11" xfId="7" applyFont="1" applyFill="1" applyBorder="1"/>
    <xf numFmtId="0" fontId="6" fillId="0" borderId="0" xfId="7" applyFont="1" applyProtection="1"/>
    <xf numFmtId="166" fontId="6" fillId="2" borderId="0" xfId="7" applyNumberFormat="1" applyFont="1" applyFill="1" applyBorder="1" applyProtection="1"/>
    <xf numFmtId="164" fontId="6" fillId="2" borderId="0" xfId="7" applyNumberFormat="1" applyFont="1" applyFill="1" applyBorder="1" applyProtection="1"/>
    <xf numFmtId="9" fontId="8" fillId="3" borderId="4" xfId="7" applyNumberFormat="1" applyFont="1" applyFill="1" applyBorder="1" applyAlignment="1" applyProtection="1">
      <alignment horizontal="center"/>
      <protection locked="0"/>
    </xf>
    <xf numFmtId="169" fontId="6" fillId="2" borderId="0" xfId="7" applyNumberFormat="1" applyFont="1" applyFill="1" applyBorder="1" applyProtection="1"/>
    <xf numFmtId="10" fontId="8" fillId="3" borderId="4" xfId="7" applyNumberFormat="1" applyFont="1" applyFill="1" applyBorder="1" applyAlignment="1" applyProtection="1">
      <alignment horizontal="center"/>
      <protection locked="0"/>
    </xf>
    <xf numFmtId="168" fontId="6" fillId="0" borderId="0" xfId="7" applyNumberFormat="1" applyFont="1" applyAlignment="1" applyProtection="1">
      <alignment horizontal="center"/>
    </xf>
    <xf numFmtId="166" fontId="6" fillId="2" borderId="0" xfId="7" applyNumberFormat="1" applyFont="1" applyFill="1" applyBorder="1" applyAlignment="1" applyProtection="1">
      <alignment horizontal="center"/>
    </xf>
    <xf numFmtId="10" fontId="6" fillId="2" borderId="0" xfId="7" applyNumberFormat="1" applyFont="1" applyFill="1" applyBorder="1" applyAlignment="1" applyProtection="1">
      <alignment horizontal="center"/>
    </xf>
    <xf numFmtId="168" fontId="6" fillId="2" borderId="5" xfId="7" applyNumberFormat="1" applyFont="1" applyFill="1" applyBorder="1" applyProtection="1"/>
    <xf numFmtId="164" fontId="6" fillId="2" borderId="0" xfId="7" applyNumberFormat="1" applyFont="1" applyFill="1" applyBorder="1" applyAlignment="1" applyProtection="1">
      <alignment horizontal="center"/>
    </xf>
    <xf numFmtId="0" fontId="6" fillId="2" borderId="3" xfId="3" applyFont="1" applyFill="1" applyBorder="1" applyProtection="1"/>
    <xf numFmtId="165" fontId="6" fillId="2" borderId="0" xfId="7" applyNumberFormat="1" applyFont="1" applyFill="1" applyBorder="1" applyAlignment="1" applyProtection="1">
      <alignment horizontal="center"/>
    </xf>
    <xf numFmtId="168" fontId="6" fillId="2" borderId="0" xfId="7" applyNumberFormat="1" applyFont="1" applyFill="1" applyBorder="1" applyProtection="1"/>
    <xf numFmtId="10" fontId="6" fillId="2" borderId="5" xfId="7" applyNumberFormat="1" applyFont="1" applyFill="1" applyBorder="1" applyProtection="1"/>
    <xf numFmtId="0" fontId="6" fillId="0" borderId="0" xfId="7" applyFont="1" applyAlignment="1" applyProtection="1">
      <alignment horizontal="center"/>
    </xf>
    <xf numFmtId="0" fontId="8" fillId="5" borderId="8" xfId="7" applyFont="1" applyFill="1" applyBorder="1" applyAlignment="1" applyProtection="1">
      <alignment horizontal="center"/>
      <protection locked="0"/>
    </xf>
    <xf numFmtId="166" fontId="6" fillId="2" borderId="5" xfId="7" applyNumberFormat="1" applyFont="1" applyFill="1" applyBorder="1" applyProtection="1"/>
    <xf numFmtId="0" fontId="6" fillId="2" borderId="0" xfId="3" applyFont="1" applyFill="1" applyBorder="1" applyAlignment="1" applyProtection="1">
      <alignment horizontal="center"/>
    </xf>
    <xf numFmtId="0" fontId="6" fillId="2" borderId="0" xfId="8" applyFont="1" applyFill="1" applyBorder="1" applyAlignment="1" applyProtection="1">
      <alignment horizontal="center"/>
    </xf>
    <xf numFmtId="0" fontId="6" fillId="2" borderId="5" xfId="3" applyFont="1" applyFill="1" applyBorder="1" applyAlignment="1" applyProtection="1">
      <alignment horizontal="center"/>
    </xf>
    <xf numFmtId="0" fontId="6" fillId="0" borderId="0" xfId="7" applyFont="1" applyAlignment="1" applyProtection="1">
      <alignment horizontal="left"/>
    </xf>
    <xf numFmtId="0" fontId="6" fillId="2" borderId="0" xfId="7" applyFont="1" applyFill="1" applyBorder="1" applyAlignment="1" applyProtection="1">
      <alignment horizontal="center"/>
    </xf>
    <xf numFmtId="0" fontId="6" fillId="2" borderId="5" xfId="7" applyFont="1" applyFill="1" applyBorder="1" applyAlignment="1" applyProtection="1">
      <alignment horizontal="center"/>
    </xf>
    <xf numFmtId="0" fontId="6" fillId="2" borderId="3" xfId="5" applyFont="1" applyFill="1" applyBorder="1" applyAlignment="1" applyProtection="1">
      <alignment horizontal="left"/>
      <protection locked="0"/>
    </xf>
    <xf numFmtId="0" fontId="6" fillId="2" borderId="0" xfId="7" applyFont="1" applyFill="1" applyBorder="1" applyProtection="1">
      <protection locked="0"/>
    </xf>
    <xf numFmtId="10" fontId="6" fillId="2" borderId="0" xfId="7" applyNumberFormat="1" applyFont="1" applyFill="1" applyBorder="1" applyProtection="1">
      <protection locked="0"/>
    </xf>
    <xf numFmtId="0" fontId="6" fillId="2" borderId="3" xfId="3" applyFont="1" applyFill="1" applyBorder="1" applyAlignment="1" applyProtection="1">
      <alignment horizontal="left"/>
      <protection locked="0"/>
    </xf>
    <xf numFmtId="0" fontId="8" fillId="5" borderId="5" xfId="7" applyFont="1" applyFill="1" applyBorder="1" applyAlignment="1" applyProtection="1">
      <alignment horizontal="left"/>
      <protection locked="0"/>
    </xf>
    <xf numFmtId="167" fontId="8" fillId="3" borderId="4" xfId="7" applyNumberFormat="1" applyFont="1" applyFill="1" applyBorder="1" applyAlignment="1" applyProtection="1">
      <alignment horizontal="center"/>
      <protection locked="0"/>
    </xf>
    <xf numFmtId="168" fontId="6" fillId="2" borderId="5" xfId="7" applyNumberFormat="1" applyFont="1" applyFill="1" applyBorder="1" applyAlignment="1" applyProtection="1">
      <alignment horizontal="center"/>
    </xf>
    <xf numFmtId="0" fontId="6" fillId="2" borderId="3" xfId="7" applyFont="1" applyFill="1" applyBorder="1" applyAlignment="1" applyProtection="1">
      <alignment horizontal="left"/>
      <protection locked="0"/>
    </xf>
    <xf numFmtId="0" fontId="8" fillId="5" borderId="0" xfId="7" applyFont="1" applyFill="1" applyBorder="1" applyAlignment="1" applyProtection="1">
      <alignment horizontal="left"/>
      <protection locked="0"/>
    </xf>
    <xf numFmtId="166" fontId="6" fillId="2" borderId="0" xfId="7" applyNumberFormat="1" applyFont="1" applyFill="1" applyBorder="1" applyProtection="1">
      <protection locked="0"/>
    </xf>
    <xf numFmtId="167" fontId="8" fillId="3" borderId="4" xfId="9" applyNumberFormat="1" applyFont="1" applyFill="1" applyBorder="1" applyAlignment="1" applyProtection="1">
      <alignment horizontal="center"/>
      <protection locked="0"/>
    </xf>
    <xf numFmtId="0" fontId="8" fillId="2" borderId="0" xfId="7" quotePrefix="1" applyFont="1" applyFill="1" applyBorder="1" applyProtection="1">
      <protection locked="0"/>
    </xf>
    <xf numFmtId="0" fontId="8" fillId="5" borderId="0" xfId="6" applyFont="1" applyFill="1" applyBorder="1" applyAlignment="1" applyProtection="1">
      <alignment horizontal="left"/>
      <protection locked="0"/>
    </xf>
    <xf numFmtId="0" fontId="8" fillId="2" borderId="3" xfId="7" applyFont="1" applyFill="1" applyBorder="1" applyAlignment="1" applyProtection="1">
      <alignment horizontal="left"/>
      <protection locked="0"/>
    </xf>
    <xf numFmtId="0" fontId="8" fillId="5" borderId="5" xfId="6" applyFont="1" applyFill="1" applyBorder="1" applyAlignment="1" applyProtection="1">
      <alignment horizontal="left"/>
      <protection locked="0"/>
    </xf>
    <xf numFmtId="0" fontId="8" fillId="2" borderId="0" xfId="7" applyFont="1" applyFill="1" applyBorder="1" applyAlignment="1" applyProtection="1">
      <alignment horizontal="left"/>
      <protection locked="0"/>
    </xf>
    <xf numFmtId="0" fontId="6" fillId="2" borderId="3" xfId="8" applyFont="1" applyFill="1" applyBorder="1" applyAlignment="1" applyProtection="1">
      <alignment horizontal="left"/>
      <protection locked="0"/>
    </xf>
    <xf numFmtId="0" fontId="8" fillId="2" borderId="3" xfId="8" applyFont="1" applyFill="1" applyBorder="1" applyAlignment="1" applyProtection="1">
      <alignment horizontal="left"/>
      <protection locked="0"/>
    </xf>
    <xf numFmtId="0" fontId="6" fillId="2" borderId="3" xfId="7" applyFont="1" applyFill="1" applyBorder="1" applyProtection="1">
      <protection locked="0"/>
    </xf>
    <xf numFmtId="165" fontId="6" fillId="0" borderId="0" xfId="7" applyNumberFormat="1" applyFont="1" applyProtection="1"/>
    <xf numFmtId="168" fontId="6" fillId="2" borderId="0" xfId="7" applyNumberFormat="1" applyFont="1" applyFill="1" applyBorder="1" applyProtection="1">
      <protection locked="0"/>
    </xf>
    <xf numFmtId="0" fontId="6" fillId="2" borderId="0" xfId="3" applyFont="1" applyFill="1" applyBorder="1" applyAlignment="1" applyProtection="1">
      <alignment horizontal="center"/>
      <protection locked="0"/>
    </xf>
    <xf numFmtId="0" fontId="6" fillId="2" borderId="3" xfId="8" applyFont="1" applyFill="1" applyBorder="1" applyProtection="1">
      <protection locked="0"/>
    </xf>
    <xf numFmtId="0" fontId="4" fillId="7" borderId="12" xfId="0" applyFont="1" applyFill="1" applyBorder="1" applyProtection="1">
      <protection locked="0"/>
    </xf>
    <xf numFmtId="0" fontId="6" fillId="2" borderId="0" xfId="7" applyFont="1" applyFill="1" applyBorder="1" applyAlignment="1" applyProtection="1">
      <alignment horizontal="center"/>
      <protection locked="0"/>
    </xf>
    <xf numFmtId="0" fontId="8" fillId="5" borderId="0" xfId="7" applyFont="1" applyFill="1" applyBorder="1" applyAlignment="1" applyProtection="1">
      <alignment horizontal="center"/>
      <protection locked="0"/>
    </xf>
    <xf numFmtId="167" fontId="8" fillId="5" borderId="0" xfId="7" applyNumberFormat="1" applyFont="1" applyFill="1" applyBorder="1" applyAlignment="1" applyProtection="1">
      <alignment horizontal="center"/>
      <protection locked="0"/>
    </xf>
    <xf numFmtId="0" fontId="8" fillId="5" borderId="0" xfId="3" applyFont="1" applyFill="1" applyBorder="1" applyAlignment="1" applyProtection="1">
      <alignment horizontal="left"/>
      <protection locked="0"/>
    </xf>
    <xf numFmtId="166" fontId="6" fillId="2" borderId="0" xfId="7" applyNumberFormat="1" applyFont="1" applyFill="1" applyBorder="1" applyAlignment="1" applyProtection="1">
      <alignment horizontal="center"/>
      <protection locked="0"/>
    </xf>
    <xf numFmtId="0" fontId="8" fillId="5" borderId="5" xfId="3" applyFont="1" applyFill="1" applyBorder="1" applyAlignment="1" applyProtection="1">
      <alignment horizontal="left"/>
      <protection locked="0"/>
    </xf>
    <xf numFmtId="165" fontId="6" fillId="2" borderId="0" xfId="7" applyNumberFormat="1" applyFont="1" applyFill="1" applyBorder="1" applyProtection="1">
      <protection locked="0"/>
    </xf>
    <xf numFmtId="165" fontId="6" fillId="2" borderId="3" xfId="7" applyNumberFormat="1" applyFont="1" applyFill="1" applyBorder="1" applyProtection="1">
      <protection locked="0"/>
    </xf>
    <xf numFmtId="0" fontId="6" fillId="2" borderId="0" xfId="8" applyFont="1" applyFill="1" applyBorder="1" applyAlignment="1" applyProtection="1">
      <alignment horizontal="center"/>
      <protection locked="0"/>
    </xf>
    <xf numFmtId="165" fontId="6" fillId="2" borderId="5" xfId="7" applyNumberFormat="1" applyFont="1" applyFill="1" applyBorder="1" applyProtection="1"/>
    <xf numFmtId="0" fontId="6" fillId="2" borderId="3" xfId="3" applyFont="1" applyFill="1" applyBorder="1" applyProtection="1">
      <protection locked="0"/>
    </xf>
    <xf numFmtId="0" fontId="6" fillId="2" borderId="3" xfId="2" applyFont="1" applyFill="1" applyBorder="1" applyAlignment="1" applyProtection="1">
      <alignment horizontal="left"/>
      <protection locked="0"/>
    </xf>
    <xf numFmtId="2" fontId="3" fillId="8" borderId="0" xfId="0" applyNumberFormat="1" applyFont="1" applyFill="1" applyProtection="1"/>
    <xf numFmtId="0" fontId="6" fillId="2" borderId="3" xfId="8" applyFont="1" applyFill="1" applyBorder="1" applyAlignment="1" applyProtection="1">
      <alignment horizontal="left"/>
    </xf>
    <xf numFmtId="9" fontId="6" fillId="2" borderId="0" xfId="7" applyNumberFormat="1" applyFont="1" applyFill="1" applyBorder="1" applyProtection="1"/>
    <xf numFmtId="0" fontId="6" fillId="2" borderId="0" xfId="8" applyFont="1" applyFill="1" applyBorder="1" applyAlignment="1" applyProtection="1">
      <alignment horizontal="left"/>
    </xf>
    <xf numFmtId="0" fontId="6" fillId="2" borderId="3" xfId="8" applyFont="1" applyFill="1" applyBorder="1" applyProtection="1"/>
    <xf numFmtId="0" fontId="6" fillId="2" borderId="0" xfId="8" applyFont="1" applyFill="1" applyBorder="1" applyProtection="1"/>
    <xf numFmtId="9" fontId="6" fillId="2" borderId="0" xfId="7" applyNumberFormat="1" applyFont="1" applyFill="1" applyBorder="1" applyAlignment="1" applyProtection="1">
      <alignment horizontal="center"/>
    </xf>
    <xf numFmtId="0" fontId="4" fillId="5" borderId="0" xfId="0" applyFont="1" applyFill="1" applyBorder="1" applyAlignment="1" applyProtection="1">
      <alignment horizontal="right"/>
    </xf>
    <xf numFmtId="166" fontId="4" fillId="9" borderId="5" xfId="0" applyNumberFormat="1" applyFont="1" applyFill="1" applyBorder="1" applyAlignment="1" applyProtection="1">
      <alignment horizontal="center"/>
    </xf>
    <xf numFmtId="165" fontId="6" fillId="2" borderId="5" xfId="7" applyNumberFormat="1" applyFont="1" applyFill="1" applyBorder="1" applyAlignment="1" applyProtection="1">
      <alignment horizontal="left"/>
    </xf>
    <xf numFmtId="166" fontId="6" fillId="2" borderId="0" xfId="8" applyNumberFormat="1" applyFont="1" applyFill="1" applyBorder="1" applyAlignment="1" applyProtection="1">
      <alignment horizontal="center"/>
    </xf>
    <xf numFmtId="0" fontId="6" fillId="2" borderId="0" xfId="7" applyFont="1" applyFill="1" applyBorder="1" applyAlignment="1">
      <alignment horizontal="center"/>
    </xf>
    <xf numFmtId="37" fontId="6" fillId="2" borderId="0" xfId="7" applyNumberFormat="1" applyFont="1" applyFill="1" applyBorder="1" applyProtection="1"/>
    <xf numFmtId="0" fontId="3" fillId="0" borderId="9" xfId="0" quotePrefix="1" applyFont="1" applyBorder="1" applyAlignment="1">
      <alignment horizontal="left"/>
    </xf>
    <xf numFmtId="0" fontId="6" fillId="4" borderId="1" xfId="0" applyFont="1" applyFill="1" applyBorder="1" applyAlignment="1" applyProtection="1">
      <alignment horizontal="fill"/>
    </xf>
    <xf numFmtId="0" fontId="6" fillId="4" borderId="2" xfId="0" applyFont="1" applyFill="1" applyBorder="1" applyAlignment="1" applyProtection="1">
      <alignment horizontal="fill"/>
    </xf>
    <xf numFmtId="0" fontId="9" fillId="4" borderId="3" xfId="0" quotePrefix="1" applyFont="1" applyFill="1" applyBorder="1" applyAlignment="1">
      <alignment horizontal="left"/>
    </xf>
    <xf numFmtId="0" fontId="6" fillId="4" borderId="0" xfId="0" applyFont="1" applyFill="1" applyBorder="1"/>
    <xf numFmtId="0" fontId="6" fillId="4" borderId="3" xfId="0" quotePrefix="1" applyFont="1" applyFill="1" applyBorder="1" applyAlignment="1">
      <alignment horizontal="center"/>
    </xf>
    <xf numFmtId="0" fontId="6" fillId="4" borderId="5" xfId="0" applyFont="1" applyFill="1" applyBorder="1"/>
    <xf numFmtId="0" fontId="6" fillId="4" borderId="3" xfId="0" applyFont="1" applyFill="1" applyBorder="1"/>
    <xf numFmtId="0" fontId="6" fillId="4" borderId="3" xfId="0" quotePrefix="1" applyFont="1" applyFill="1" applyBorder="1" applyAlignment="1" applyProtection="1">
      <alignment horizontal="center"/>
    </xf>
    <xf numFmtId="9" fontId="6" fillId="4" borderId="0" xfId="0" applyNumberFormat="1" applyFont="1" applyFill="1" applyBorder="1" applyProtection="1"/>
    <xf numFmtId="0" fontId="7" fillId="0" borderId="3" xfId="0" applyFont="1" applyBorder="1"/>
    <xf numFmtId="166" fontId="7" fillId="0" borderId="0" xfId="7" applyNumberFormat="1" applyFont="1"/>
    <xf numFmtId="0" fontId="10" fillId="4" borderId="3"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11" xfId="0" applyNumberFormat="1" applyFont="1" applyFill="1" applyBorder="1" applyProtection="1"/>
    <xf numFmtId="0" fontId="6" fillId="4" borderId="0" xfId="7" applyFont="1" applyFill="1" applyBorder="1"/>
    <xf numFmtId="168" fontId="6" fillId="4" borderId="0" xfId="7" applyNumberFormat="1" applyFont="1" applyFill="1" applyBorder="1" applyProtection="1"/>
    <xf numFmtId="165" fontId="6" fillId="0" borderId="0" xfId="7" applyNumberFormat="1" applyFont="1" applyAlignment="1" applyProtection="1">
      <alignment horizontal="center"/>
    </xf>
    <xf numFmtId="0" fontId="11" fillId="0" borderId="0" xfId="7" applyFont="1"/>
    <xf numFmtId="165" fontId="7" fillId="0" borderId="0" xfId="7" applyNumberFormat="1" applyFont="1"/>
    <xf numFmtId="0" fontId="8" fillId="5" borderId="0" xfId="10" applyFont="1" applyFill="1" applyBorder="1" applyAlignment="1" applyProtection="1">
      <alignment horizontal="left"/>
      <protection locked="0"/>
    </xf>
    <xf numFmtId="0" fontId="10" fillId="0" borderId="0" xfId="1" applyFont="1" applyAlignment="1" applyProtection="1">
      <alignment horizontal="center"/>
    </xf>
    <xf numFmtId="0" fontId="6" fillId="4" borderId="1" xfId="2" applyFont="1" applyFill="1" applyBorder="1" applyAlignment="1" applyProtection="1">
      <alignment horizontal="fill"/>
    </xf>
    <xf numFmtId="0" fontId="4" fillId="0" borderId="0" xfId="0" applyFont="1" applyAlignment="1">
      <alignment vertical="center"/>
    </xf>
    <xf numFmtId="1" fontId="8" fillId="3" borderId="4" xfId="7" applyNumberFormat="1" applyFont="1" applyFill="1" applyBorder="1" applyAlignment="1" applyProtection="1">
      <alignment horizontal="center"/>
      <protection locked="0"/>
    </xf>
    <xf numFmtId="0" fontId="6" fillId="4" borderId="0" xfId="2" applyFont="1" applyFill="1" applyBorder="1"/>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cellXfs>
  <cellStyles count="13">
    <cellStyle name="Hyperlink" xfId="1" builtinId="8"/>
    <cellStyle name="Normal" xfId="0" builtinId="0"/>
    <cellStyle name="Normal 2" xfId="11" xr:uid="{80175CAD-51F9-476C-B029-4778EE0FA9DA}"/>
    <cellStyle name="Normal_Corn2" xfId="2" xr:uid="{00000000-0005-0000-0000-000002000000}"/>
    <cellStyle name="Normal_Corn2 2" xfId="10" xr:uid="{00000000-0005-0000-0000-000003000000}"/>
    <cellStyle name="Normal_Hay" xfId="3" xr:uid="{00000000-0005-0000-0000-000004000000}"/>
    <cellStyle name="Normal_Oats" xfId="4" xr:uid="{00000000-0005-0000-0000-000005000000}"/>
    <cellStyle name="Normal_Raspp2" xfId="5" xr:uid="{00000000-0005-0000-0000-000006000000}"/>
    <cellStyle name="Normal_Scanol" xfId="6" xr:uid="{00000000-0005-0000-0000-000007000000}"/>
    <cellStyle name="Normal_Strawc2" xfId="7" xr:uid="{00000000-0005-0000-0000-000008000000}"/>
    <cellStyle name="Normal_Strawc2 2" xfId="12" xr:uid="{D3F1D3F5-D741-4359-AFD3-5F3BCCD4F1B2}"/>
    <cellStyle name="Normal_Swheat" xfId="8" xr:uid="{00000000-0005-0000-0000-000009000000}"/>
    <cellStyle name="Normal_Wwheat" xfId="9" xr:uid="{00000000-0005-0000-0000-00000A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722911</xdr:colOff>
      <xdr:row>2</xdr:row>
      <xdr:rowOff>214539</xdr:rowOff>
    </xdr:to>
    <xdr:pic>
      <xdr:nvPicPr>
        <xdr:cNvPr id="2" name="Picture 1">
          <a:extLst>
            <a:ext uri="{FF2B5EF4-FFF2-40B4-BE49-F238E27FC236}">
              <a16:creationId xmlns:a16="http://schemas.microsoft.com/office/drawing/2014/main" id="{81F67D69-D130-4E51-BD1F-73053B0DBC57}"/>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1"/>
  <sheetViews>
    <sheetView showGridLines="0" tabSelected="1" zoomScaleNormal="100" workbookViewId="0">
      <selection activeCell="A3" sqref="A3"/>
    </sheetView>
  </sheetViews>
  <sheetFormatPr defaultColWidth="11.15234375" defaultRowHeight="13.3" x14ac:dyDescent="0.25"/>
  <cols>
    <col min="1" max="1" width="15.84375" style="7" customWidth="1"/>
    <col min="2" max="2" width="11" style="7" customWidth="1"/>
    <col min="3" max="3" width="14.15234375" style="7" customWidth="1"/>
    <col min="4" max="4" width="16.3046875" style="7" customWidth="1"/>
    <col min="5" max="5" width="14.69140625" style="7" customWidth="1"/>
    <col min="6" max="6" width="17" style="7" customWidth="1"/>
    <col min="7" max="7" width="14" style="7" customWidth="1"/>
    <col min="8" max="8" width="20.69140625" style="7" customWidth="1"/>
    <col min="9" max="12" width="11" style="7" hidden="1" customWidth="1"/>
    <col min="13" max="18" width="11.15234375" style="7" hidden="1" customWidth="1"/>
    <col min="19" max="19" width="8.84375" style="7" hidden="1" customWidth="1"/>
    <col min="20" max="20" width="3.15234375" style="7" hidden="1" customWidth="1"/>
    <col min="21" max="21" width="19.15234375" style="7" hidden="1" customWidth="1"/>
    <col min="22" max="27" width="11.15234375" style="7" hidden="1" customWidth="1"/>
    <col min="28" max="28" width="0" style="7" hidden="1" customWidth="1"/>
    <col min="29" max="40" width="11.15234375" style="7"/>
    <col min="41" max="41" width="13.3828125" style="7" customWidth="1"/>
    <col min="42" max="49" width="8.84375" style="7" customWidth="1"/>
    <col min="50" max="50" width="6.53515625" style="7" customWidth="1"/>
    <col min="51" max="240" width="11.15234375" style="7"/>
    <col min="241" max="241" width="8.84375" style="7" customWidth="1"/>
    <col min="242" max="242" width="3.15234375" style="7" customWidth="1"/>
    <col min="243" max="249" width="11.15234375" style="7"/>
    <col min="250" max="250" width="8.84375" style="7" customWidth="1"/>
    <col min="251" max="251" width="3.15234375" style="7" customWidth="1"/>
    <col min="252" max="16384" width="11.15234375" style="7"/>
  </cols>
  <sheetData>
    <row r="1" spans="1:27" ht="15.45" x14ac:dyDescent="0.25">
      <c r="A1" s="136" t="s">
        <v>144</v>
      </c>
    </row>
    <row r="2" spans="1:27" ht="15.45" x14ac:dyDescent="0.4">
      <c r="A2" s="1"/>
      <c r="B2" s="2"/>
      <c r="C2" s="2" t="s">
        <v>145</v>
      </c>
      <c r="D2" s="3"/>
      <c r="E2" s="3"/>
      <c r="F2" s="3"/>
      <c r="G2" s="4"/>
      <c r="H2" s="5" t="s">
        <v>150</v>
      </c>
      <c r="I2" s="6"/>
      <c r="J2" s="6"/>
      <c r="K2" s="6"/>
      <c r="L2" s="6"/>
      <c r="AA2" s="8">
        <f ca="1">E106</f>
        <v>331.63909999999998</v>
      </c>
    </row>
    <row r="3" spans="1:27" ht="21" customHeight="1" x14ac:dyDescent="0.4">
      <c r="A3" s="9">
        <v>812</v>
      </c>
      <c r="B3" s="10"/>
      <c r="C3" s="10"/>
      <c r="D3" s="11"/>
      <c r="E3" s="10"/>
      <c r="F3" s="12" t="s">
        <v>48</v>
      </c>
      <c r="G3" s="10"/>
      <c r="H3" s="13">
        <f ca="1">AA2</f>
        <v>331.63909999999998</v>
      </c>
      <c r="I3" s="6"/>
      <c r="J3" s="6"/>
      <c r="K3" s="6"/>
      <c r="L3" s="6"/>
      <c r="AA3" s="7">
        <f>C7*D4</f>
        <v>4.5</v>
      </c>
    </row>
    <row r="4" spans="1:27" ht="15.45" x14ac:dyDescent="0.4">
      <c r="A4" s="14"/>
      <c r="B4" s="15" t="s">
        <v>47</v>
      </c>
      <c r="C4" s="10"/>
      <c r="D4" s="16">
        <v>1</v>
      </c>
      <c r="E4" s="10"/>
      <c r="F4" s="17"/>
      <c r="G4" s="18"/>
      <c r="H4" s="19"/>
      <c r="I4" s="6"/>
      <c r="J4" s="6"/>
      <c r="K4" s="6"/>
      <c r="L4" s="6"/>
      <c r="AA4" s="7">
        <f>E7*D4</f>
        <v>4</v>
      </c>
    </row>
    <row r="5" spans="1:27" ht="15.45" x14ac:dyDescent="0.4">
      <c r="A5" s="20"/>
      <c r="B5" s="20"/>
      <c r="C5" s="20"/>
      <c r="D5" s="20"/>
      <c r="E5" s="20"/>
      <c r="F5" s="20"/>
      <c r="G5" s="20"/>
      <c r="H5" s="20"/>
      <c r="I5" s="6"/>
      <c r="J5" s="6"/>
      <c r="K5" s="6"/>
      <c r="L5" s="6"/>
      <c r="AA5" s="7">
        <f>G7*D4</f>
        <v>2.5</v>
      </c>
    </row>
    <row r="6" spans="1:27" ht="15.45" x14ac:dyDescent="0.4">
      <c r="A6" s="21"/>
      <c r="B6" s="18"/>
      <c r="C6" s="22" t="s">
        <v>49</v>
      </c>
      <c r="D6" s="23"/>
      <c r="E6" s="24" t="s">
        <v>50</v>
      </c>
      <c r="F6" s="25"/>
      <c r="G6" s="24" t="s">
        <v>51</v>
      </c>
      <c r="H6" s="26"/>
      <c r="I6" s="6"/>
      <c r="J6" s="6"/>
      <c r="K6" s="6"/>
      <c r="L6" s="6"/>
      <c r="AA6" s="7">
        <f>E7*D15</f>
        <v>0</v>
      </c>
    </row>
    <row r="7" spans="1:27" ht="15.45" x14ac:dyDescent="0.4">
      <c r="A7" s="27" t="s">
        <v>52</v>
      </c>
      <c r="B7" s="10"/>
      <c r="C7" s="28">
        <v>4.5</v>
      </c>
      <c r="D7" s="10"/>
      <c r="E7" s="28">
        <v>4</v>
      </c>
      <c r="F7" s="10"/>
      <c r="G7" s="28">
        <v>2.5</v>
      </c>
      <c r="H7" s="29"/>
      <c r="I7" s="6"/>
      <c r="J7" s="6"/>
      <c r="K7" s="6"/>
      <c r="L7" s="6"/>
      <c r="AA7" s="7">
        <f>IF(D19&lt;0.0001,0.0001,IF(D19&gt;1,1,D19))</f>
        <v>1E-4</v>
      </c>
    </row>
    <row r="8" spans="1:27" ht="15.45" x14ac:dyDescent="0.4">
      <c r="A8" s="27" t="s">
        <v>53</v>
      </c>
      <c r="B8" s="10"/>
      <c r="C8" s="30">
        <v>220</v>
      </c>
      <c r="D8" s="10"/>
      <c r="E8" s="30">
        <v>180</v>
      </c>
      <c r="F8" s="10"/>
      <c r="G8" s="30">
        <v>70</v>
      </c>
      <c r="H8" s="29"/>
      <c r="I8" s="6"/>
      <c r="J8" s="6"/>
      <c r="K8" s="6"/>
      <c r="L8" s="6"/>
      <c r="AA8" s="8">
        <f>F100</f>
        <v>0</v>
      </c>
    </row>
    <row r="9" spans="1:27" ht="15.45" x14ac:dyDescent="0.4">
      <c r="A9" s="27" t="s">
        <v>54</v>
      </c>
      <c r="B9" s="10"/>
      <c r="C9" s="31">
        <f>AA3</f>
        <v>4.5</v>
      </c>
      <c r="D9" s="10"/>
      <c r="E9" s="31">
        <f>AA4</f>
        <v>4</v>
      </c>
      <c r="F9" s="10"/>
      <c r="G9" s="31">
        <f>AA5</f>
        <v>2.5</v>
      </c>
      <c r="H9" s="29"/>
      <c r="I9" s="6"/>
      <c r="J9" s="6"/>
      <c r="K9" s="6"/>
      <c r="L9" s="6"/>
      <c r="AA9" s="7">
        <f>E8*(D19*(D16-E7)+((C7-G7)/2)*EXP(-0.5*((D16-E7)/((C7-G7)/2))^2)/SQRT(2*PI()))</f>
        <v>1.0548131832880357E-3</v>
      </c>
    </row>
    <row r="10" spans="1:27" ht="15.45" x14ac:dyDescent="0.4">
      <c r="A10" s="32" t="s">
        <v>126</v>
      </c>
      <c r="B10" s="10"/>
      <c r="C10" s="31"/>
      <c r="D10" s="10"/>
      <c r="E10" s="31"/>
      <c r="F10" s="10"/>
      <c r="G10" s="31"/>
      <c r="H10" s="29"/>
      <c r="I10" s="6"/>
      <c r="J10" s="6"/>
      <c r="K10" s="6"/>
      <c r="L10" s="6"/>
      <c r="AA10" s="8">
        <f ca="1">H87</f>
        <v>319.76090000000005</v>
      </c>
    </row>
    <row r="11" spans="1:27" ht="15.45" x14ac:dyDescent="0.4">
      <c r="A11" s="33"/>
      <c r="B11" s="10"/>
      <c r="C11" s="31"/>
      <c r="D11" s="10"/>
      <c r="E11" s="34">
        <v>0.5</v>
      </c>
      <c r="F11" s="10"/>
      <c r="G11" s="31"/>
      <c r="H11" s="35"/>
      <c r="I11" s="6"/>
      <c r="J11" s="6"/>
      <c r="K11" s="6"/>
      <c r="L11" s="6"/>
      <c r="AA11" s="7">
        <f>(EXP(-0.5*((E7-D16)/((C7-G7)/2))^2)/SQRT(2*PI()))*(0.43618*(K33^-1)-0.1202*(K33^-2)+0.9373*(K33^-3))</f>
        <v>3.199253813109907E-5</v>
      </c>
    </row>
    <row r="12" spans="1:27" ht="15.45" x14ac:dyDescent="0.4">
      <c r="A12" s="20"/>
      <c r="B12" s="20"/>
      <c r="C12" s="20"/>
      <c r="D12" s="20"/>
      <c r="E12" s="20"/>
      <c r="F12" s="20"/>
      <c r="G12" s="20"/>
      <c r="H12" s="20"/>
      <c r="I12" s="6"/>
      <c r="J12" s="6"/>
      <c r="K12" s="6"/>
      <c r="L12" s="6"/>
      <c r="AA12" s="8">
        <f ca="1">H96</f>
        <v>68.599999999999994</v>
      </c>
    </row>
    <row r="13" spans="1:27" ht="15.45" x14ac:dyDescent="0.4">
      <c r="A13" s="27" t="s">
        <v>55</v>
      </c>
      <c r="B13" s="18"/>
      <c r="C13" s="18"/>
      <c r="D13" s="18"/>
      <c r="E13" s="18"/>
      <c r="F13" s="18"/>
      <c r="G13" s="18"/>
      <c r="H13" s="26"/>
      <c r="I13" s="6"/>
      <c r="J13" s="6"/>
      <c r="K13" s="36"/>
      <c r="L13" s="6"/>
      <c r="AA13" s="8">
        <f>F99</f>
        <v>720</v>
      </c>
    </row>
    <row r="14" spans="1:27" ht="15.45" x14ac:dyDescent="0.4">
      <c r="A14" s="27" t="s">
        <v>56</v>
      </c>
      <c r="B14" s="10"/>
      <c r="C14" s="37"/>
      <c r="D14" s="30">
        <v>0</v>
      </c>
      <c r="E14" s="17" t="s">
        <v>125</v>
      </c>
      <c r="F14" s="38"/>
      <c r="G14" s="37"/>
      <c r="H14" s="28">
        <v>7</v>
      </c>
      <c r="I14" s="6"/>
      <c r="J14" s="6"/>
      <c r="K14" s="36">
        <v>0</v>
      </c>
      <c r="L14" s="6"/>
      <c r="AA14" s="7">
        <f>D4*I149</f>
        <v>357.80581325629686</v>
      </c>
    </row>
    <row r="15" spans="1:27" ht="15.45" x14ac:dyDescent="0.4">
      <c r="A15" s="27" t="s">
        <v>57</v>
      </c>
      <c r="B15" s="10"/>
      <c r="C15" s="37"/>
      <c r="D15" s="39">
        <v>0</v>
      </c>
      <c r="E15" s="17" t="s">
        <v>62</v>
      </c>
      <c r="F15" s="38"/>
      <c r="G15" s="40"/>
      <c r="H15" s="41">
        <v>6.9500000000000006E-2</v>
      </c>
      <c r="I15" s="6"/>
      <c r="J15" s="6"/>
      <c r="K15" s="42">
        <f>AA8</f>
        <v>0</v>
      </c>
      <c r="L15" s="6"/>
      <c r="AA15" s="7" t="e">
        <f>D4*E7/G4</f>
        <v>#DIV/0!</v>
      </c>
    </row>
    <row r="16" spans="1:27" ht="15.45" x14ac:dyDescent="0.4">
      <c r="A16" s="27" t="s">
        <v>58</v>
      </c>
      <c r="B16" s="10"/>
      <c r="C16" s="18"/>
      <c r="D16" s="43">
        <f>AA6</f>
        <v>0</v>
      </c>
      <c r="E16" s="17" t="s">
        <v>63</v>
      </c>
      <c r="F16" s="38"/>
      <c r="G16" s="18"/>
      <c r="H16" s="41">
        <v>0.03</v>
      </c>
      <c r="I16" s="6"/>
      <c r="J16" s="6"/>
      <c r="K16" s="42">
        <f ca="1">AA10</f>
        <v>319.76090000000005</v>
      </c>
      <c r="L16" s="6"/>
      <c r="AA16" s="7">
        <f>E8*G4</f>
        <v>0</v>
      </c>
    </row>
    <row r="17" spans="1:27" ht="15.45" x14ac:dyDescent="0.4">
      <c r="A17" s="27" t="s">
        <v>59</v>
      </c>
      <c r="B17" s="10"/>
      <c r="C17" s="18"/>
      <c r="D17" s="44">
        <f>AA7</f>
        <v>1E-4</v>
      </c>
      <c r="E17" s="18"/>
      <c r="F17" s="38"/>
      <c r="G17" s="18"/>
      <c r="H17" s="45"/>
      <c r="I17" s="6"/>
      <c r="J17" s="6"/>
      <c r="K17" s="42">
        <f ca="1">AA12</f>
        <v>68.599999999999994</v>
      </c>
      <c r="L17" s="6"/>
      <c r="AA17" s="7">
        <f>E25*F25</f>
        <v>159.98400000000001</v>
      </c>
    </row>
    <row r="18" spans="1:27" ht="15.45" x14ac:dyDescent="0.4">
      <c r="A18" s="27" t="s">
        <v>60</v>
      </c>
      <c r="B18" s="18"/>
      <c r="C18" s="18"/>
      <c r="D18" s="46">
        <f>AA9</f>
        <v>1.0548131832880357E-3</v>
      </c>
      <c r="E18" s="18"/>
      <c r="F18" s="18"/>
      <c r="G18" s="18"/>
      <c r="H18" s="26"/>
      <c r="I18" s="6"/>
      <c r="J18" s="6"/>
      <c r="K18" s="42">
        <f>AA13</f>
        <v>720</v>
      </c>
      <c r="L18" s="6"/>
      <c r="AA18" s="7">
        <f>G25*D4</f>
        <v>159.98400000000001</v>
      </c>
    </row>
    <row r="19" spans="1:27" ht="15.45" x14ac:dyDescent="0.4">
      <c r="A19" s="47" t="s">
        <v>43</v>
      </c>
      <c r="B19" s="10"/>
      <c r="C19" s="10"/>
      <c r="D19" s="48">
        <f>AA11</f>
        <v>3.199253813109907E-5</v>
      </c>
      <c r="E19" s="18"/>
      <c r="F19" s="18"/>
      <c r="G19" s="49"/>
      <c r="H19" s="50"/>
      <c r="I19" s="6"/>
      <c r="J19" s="6"/>
      <c r="K19" s="51">
        <f>AA14</f>
        <v>357.80581325629686</v>
      </c>
      <c r="L19" s="6"/>
      <c r="AA19" s="7">
        <f>E26*F26</f>
        <v>0</v>
      </c>
    </row>
    <row r="20" spans="1:27" ht="15.45" x14ac:dyDescent="0.4">
      <c r="A20" s="27" t="s">
        <v>61</v>
      </c>
      <c r="B20" s="10"/>
      <c r="C20" s="10"/>
      <c r="D20" s="52" t="s">
        <v>148</v>
      </c>
      <c r="E20" s="18"/>
      <c r="F20" s="10"/>
      <c r="G20" s="10"/>
      <c r="H20" s="53"/>
      <c r="I20" s="6"/>
      <c r="J20" s="6"/>
      <c r="K20" s="51" t="e">
        <f>AA15</f>
        <v>#DIV/0!</v>
      </c>
      <c r="L20" s="6"/>
      <c r="AA20" s="7">
        <f>G26*D4</f>
        <v>0</v>
      </c>
    </row>
    <row r="21" spans="1:27" ht="15.45" x14ac:dyDescent="0.4">
      <c r="A21" s="20"/>
      <c r="B21" s="20"/>
      <c r="C21" s="20"/>
      <c r="D21" s="20"/>
      <c r="E21" s="20"/>
      <c r="F21" s="20"/>
      <c r="G21" s="20"/>
      <c r="H21" s="20"/>
      <c r="I21" s="6"/>
      <c r="J21" s="6"/>
      <c r="K21" s="51">
        <f>AA16</f>
        <v>0</v>
      </c>
      <c r="L21" s="6"/>
      <c r="AA21" s="7">
        <f>D4</f>
        <v>1</v>
      </c>
    </row>
    <row r="22" spans="1:27" ht="15.45" x14ac:dyDescent="0.4">
      <c r="A22" s="21"/>
      <c r="B22" s="18"/>
      <c r="C22" s="18"/>
      <c r="D22" s="54" t="s">
        <v>64</v>
      </c>
      <c r="E22" s="54" t="s">
        <v>65</v>
      </c>
      <c r="F22" s="54" t="s">
        <v>66</v>
      </c>
      <c r="G22" s="55" t="s">
        <v>67</v>
      </c>
      <c r="H22" s="56" t="s">
        <v>68</v>
      </c>
      <c r="I22" s="6"/>
      <c r="J22" s="6"/>
      <c r="K22" s="57" t="s">
        <v>4</v>
      </c>
      <c r="L22" s="6"/>
      <c r="AA22" s="7">
        <f>240/20</f>
        <v>12</v>
      </c>
    </row>
    <row r="23" spans="1:27" ht="15.45" x14ac:dyDescent="0.4">
      <c r="A23" s="27" t="s">
        <v>69</v>
      </c>
      <c r="B23" s="10"/>
      <c r="C23" s="10"/>
      <c r="D23" s="58" t="s">
        <v>0</v>
      </c>
      <c r="E23" s="58" t="s">
        <v>1</v>
      </c>
      <c r="F23" s="58" t="s">
        <v>2</v>
      </c>
      <c r="G23" s="58" t="s">
        <v>3</v>
      </c>
      <c r="H23" s="59" t="s">
        <v>3</v>
      </c>
      <c r="I23" s="6"/>
      <c r="J23" s="6"/>
      <c r="K23" s="51">
        <f>AA21</f>
        <v>1</v>
      </c>
      <c r="L23" s="6"/>
      <c r="AA23" s="7" t="e">
        <f>#REF!*#REF!</f>
        <v>#REF!</v>
      </c>
    </row>
    <row r="24" spans="1:27" ht="15.45" x14ac:dyDescent="0.4">
      <c r="A24" s="60" t="s">
        <v>115</v>
      </c>
      <c r="B24" s="61"/>
      <c r="C24" s="61"/>
      <c r="D24" s="62"/>
      <c r="E24" s="61"/>
      <c r="F24" s="61"/>
      <c r="G24" s="18"/>
      <c r="H24" s="50"/>
      <c r="I24" s="6"/>
      <c r="J24" s="6"/>
      <c r="K24" s="36">
        <v>0</v>
      </c>
      <c r="L24" s="6"/>
      <c r="AA24" s="7" t="e">
        <f>#REF!*D4</f>
        <v>#REF!</v>
      </c>
    </row>
    <row r="25" spans="1:27" ht="15.45" x14ac:dyDescent="0.4">
      <c r="A25" s="63" t="s">
        <v>124</v>
      </c>
      <c r="B25" s="61"/>
      <c r="C25" s="61"/>
      <c r="D25" s="64" t="s">
        <v>44</v>
      </c>
      <c r="E25" s="28">
        <v>3.6</v>
      </c>
      <c r="F25" s="65">
        <v>44.44</v>
      </c>
      <c r="G25" s="31">
        <f>AA17</f>
        <v>159.98400000000001</v>
      </c>
      <c r="H25" s="66">
        <f>AA18</f>
        <v>159.98400000000001</v>
      </c>
      <c r="I25" s="6"/>
      <c r="J25" s="6"/>
      <c r="K25" s="42">
        <f>AA28</f>
        <v>52.560899999999997</v>
      </c>
      <c r="L25" s="6"/>
      <c r="AA25" s="7">
        <f>360/6</f>
        <v>60</v>
      </c>
    </row>
    <row r="26" spans="1:27" ht="15.45" x14ac:dyDescent="0.4">
      <c r="A26" s="67" t="s">
        <v>70</v>
      </c>
      <c r="B26" s="61"/>
      <c r="C26" s="61"/>
      <c r="D26" s="68" t="s">
        <v>44</v>
      </c>
      <c r="E26" s="28"/>
      <c r="F26" s="30"/>
      <c r="G26" s="31">
        <f>AA19</f>
        <v>0</v>
      </c>
      <c r="H26" s="66">
        <f>AA20</f>
        <v>0</v>
      </c>
      <c r="I26" s="6"/>
      <c r="J26" s="6"/>
      <c r="K26" s="51">
        <f>AA31</f>
        <v>0</v>
      </c>
      <c r="L26" s="6"/>
      <c r="AA26" s="7" t="e">
        <f>#REF!*#REF!</f>
        <v>#REF!</v>
      </c>
    </row>
    <row r="27" spans="1:27" ht="15.45" x14ac:dyDescent="0.4">
      <c r="A27" s="63" t="s">
        <v>71</v>
      </c>
      <c r="B27" s="61"/>
      <c r="C27" s="69"/>
      <c r="D27" s="61"/>
      <c r="E27" s="61"/>
      <c r="F27" s="61"/>
      <c r="G27" s="49"/>
      <c r="H27" s="45"/>
      <c r="I27" s="6"/>
      <c r="J27" s="6"/>
      <c r="K27" s="42">
        <f>AA34</f>
        <v>147.44999999999999</v>
      </c>
      <c r="L27" s="6"/>
      <c r="AA27" s="7" t="e">
        <f>#REF!*D4</f>
        <v>#REF!</v>
      </c>
    </row>
    <row r="28" spans="1:27" ht="17.149999999999999" x14ac:dyDescent="0.5">
      <c r="A28" s="67" t="s">
        <v>6</v>
      </c>
      <c r="B28" s="133" t="s">
        <v>141</v>
      </c>
      <c r="C28" s="61"/>
      <c r="D28" s="64" t="s">
        <v>7</v>
      </c>
      <c r="E28" s="137"/>
      <c r="F28" s="70"/>
      <c r="G28" s="31">
        <f>AA41</f>
        <v>0</v>
      </c>
      <c r="H28" s="66">
        <f>AA42</f>
        <v>0</v>
      </c>
      <c r="I28" s="6"/>
      <c r="J28" s="6"/>
      <c r="K28" s="42">
        <f>AA35</f>
        <v>0</v>
      </c>
      <c r="L28" s="6"/>
      <c r="AA28" s="8">
        <f>SUM(H60:H63)</f>
        <v>52.560899999999997</v>
      </c>
    </row>
    <row r="29" spans="1:27" ht="17.149999999999999" x14ac:dyDescent="0.5">
      <c r="A29" s="67" t="s">
        <v>10</v>
      </c>
      <c r="B29" s="133" t="s">
        <v>142</v>
      </c>
      <c r="C29" s="61"/>
      <c r="D29" s="64" t="s">
        <v>7</v>
      </c>
      <c r="E29" s="137"/>
      <c r="F29" s="70"/>
      <c r="G29" s="31">
        <f>AA43</f>
        <v>0</v>
      </c>
      <c r="H29" s="66">
        <f>AA44</f>
        <v>0</v>
      </c>
      <c r="I29" s="6"/>
      <c r="J29" s="6"/>
      <c r="K29" s="42">
        <f>AA38</f>
        <v>17</v>
      </c>
      <c r="L29" s="6"/>
      <c r="AA29" s="7" t="e">
        <f>#REF!*#REF!</f>
        <v>#REF!</v>
      </c>
    </row>
    <row r="30" spans="1:27" ht="15.45" x14ac:dyDescent="0.4">
      <c r="A30" s="67" t="s">
        <v>46</v>
      </c>
      <c r="B30" s="71" t="s">
        <v>45</v>
      </c>
      <c r="C30" s="61"/>
      <c r="D30" s="64" t="s">
        <v>13</v>
      </c>
      <c r="E30" s="28">
        <v>1</v>
      </c>
      <c r="F30" s="30">
        <v>11.2</v>
      </c>
      <c r="G30" s="31">
        <f>AA58</f>
        <v>11.2</v>
      </c>
      <c r="H30" s="66">
        <f>AA59</f>
        <v>11.2</v>
      </c>
      <c r="I30" s="6"/>
      <c r="J30" s="6"/>
      <c r="K30" s="6"/>
      <c r="L30" s="6"/>
      <c r="AA30" s="7" t="e">
        <f>#REF!*D4</f>
        <v>#REF!</v>
      </c>
    </row>
    <row r="31" spans="1:27" ht="15.45" x14ac:dyDescent="0.4">
      <c r="A31" s="67"/>
      <c r="B31" s="71" t="s">
        <v>149</v>
      </c>
      <c r="C31" s="61"/>
      <c r="D31" s="64" t="s">
        <v>13</v>
      </c>
      <c r="E31" s="28">
        <v>1</v>
      </c>
      <c r="F31" s="30">
        <v>21.85</v>
      </c>
      <c r="G31" s="31">
        <f>AA60</f>
        <v>21.85</v>
      </c>
      <c r="H31" s="66">
        <f>AA61</f>
        <v>21.85</v>
      </c>
      <c r="I31" s="6"/>
      <c r="J31" s="6"/>
      <c r="K31" s="6"/>
      <c r="L31" s="6"/>
      <c r="AA31" s="7">
        <f>SUM(H65:H67)</f>
        <v>0</v>
      </c>
    </row>
    <row r="32" spans="1:27" ht="15.45" x14ac:dyDescent="0.4">
      <c r="A32" s="63" t="s">
        <v>72</v>
      </c>
      <c r="B32" s="71"/>
      <c r="C32" s="61"/>
      <c r="D32" s="64" t="s">
        <v>13</v>
      </c>
      <c r="E32" s="28"/>
      <c r="F32" s="30"/>
      <c r="G32" s="31">
        <f>AA62</f>
        <v>0</v>
      </c>
      <c r="H32" s="66">
        <f>AA63</f>
        <v>0</v>
      </c>
      <c r="I32" s="6"/>
      <c r="J32" s="57" t="s">
        <v>8</v>
      </c>
      <c r="K32" s="57" t="s">
        <v>9</v>
      </c>
      <c r="L32" s="6"/>
      <c r="AA32" s="7" t="e">
        <f>#REF!*#REF!</f>
        <v>#REF!</v>
      </c>
    </row>
    <row r="33" spans="1:27" ht="15.45" x14ac:dyDescent="0.4">
      <c r="A33" s="63" t="s">
        <v>73</v>
      </c>
      <c r="B33" s="61"/>
      <c r="C33" s="72" t="s">
        <v>121</v>
      </c>
      <c r="D33" s="64"/>
      <c r="E33" s="28"/>
      <c r="F33" s="30"/>
      <c r="G33" s="31">
        <f>AA64</f>
        <v>0</v>
      </c>
      <c r="H33" s="66">
        <f>AA65</f>
        <v>0</v>
      </c>
      <c r="I33" s="6"/>
      <c r="J33" s="57" t="s">
        <v>11</v>
      </c>
      <c r="K33" s="51">
        <f>AA45</f>
        <v>2.3306800000000001</v>
      </c>
      <c r="L33" s="6"/>
      <c r="AA33" s="7" t="e">
        <f>#REF!*D4</f>
        <v>#REF!</v>
      </c>
    </row>
    <row r="34" spans="1:27" ht="15.45" x14ac:dyDescent="0.4">
      <c r="A34" s="73"/>
      <c r="B34" s="61"/>
      <c r="C34" s="74" t="s">
        <v>122</v>
      </c>
      <c r="D34" s="64"/>
      <c r="E34" s="28">
        <v>2</v>
      </c>
      <c r="F34" s="30">
        <v>13.75</v>
      </c>
      <c r="G34" s="31">
        <f>AA66</f>
        <v>27.5</v>
      </c>
      <c r="H34" s="66">
        <f>AA67</f>
        <v>27.5</v>
      </c>
      <c r="I34" s="6"/>
      <c r="J34" s="36"/>
      <c r="K34" s="42">
        <f>AA46</f>
        <v>0</v>
      </c>
      <c r="L34" s="6"/>
      <c r="AA34" s="8">
        <f>SUM(H58:H59,H70:H70,H72:H72)+H75</f>
        <v>147.44999999999999</v>
      </c>
    </row>
    <row r="35" spans="1:27" ht="15.45" x14ac:dyDescent="0.4">
      <c r="A35" s="73"/>
      <c r="B35" s="61"/>
      <c r="C35" s="75" t="s">
        <v>123</v>
      </c>
      <c r="D35" s="68"/>
      <c r="E35" s="28"/>
      <c r="F35" s="30"/>
      <c r="G35" s="31">
        <f>AA68</f>
        <v>0</v>
      </c>
      <c r="H35" s="66">
        <f>AA69</f>
        <v>0</v>
      </c>
      <c r="I35" s="6"/>
      <c r="J35" s="6"/>
      <c r="K35" s="42">
        <f>AA49</f>
        <v>0</v>
      </c>
      <c r="L35" s="6"/>
      <c r="AA35" s="8">
        <f>H71</f>
        <v>0</v>
      </c>
    </row>
    <row r="36" spans="1:27" ht="15.45" x14ac:dyDescent="0.4">
      <c r="A36" s="67"/>
      <c r="B36" s="61"/>
      <c r="C36" s="69"/>
      <c r="D36" s="61"/>
      <c r="E36" s="61"/>
      <c r="F36" s="69"/>
      <c r="G36" s="49"/>
      <c r="H36" s="45"/>
      <c r="I36" s="6"/>
      <c r="J36" s="6"/>
      <c r="K36" s="6"/>
      <c r="L36" s="6"/>
      <c r="AA36" s="7" t="e">
        <f>#REF!*#REF!</f>
        <v>#REF!</v>
      </c>
    </row>
    <row r="37" spans="1:27" ht="15.45" x14ac:dyDescent="0.4">
      <c r="A37" s="76" t="s">
        <v>74</v>
      </c>
      <c r="B37" s="61"/>
      <c r="C37" s="61"/>
      <c r="D37" s="64" t="s">
        <v>14</v>
      </c>
      <c r="E37" s="139">
        <v>1</v>
      </c>
      <c r="F37" s="142">
        <v>8.6</v>
      </c>
      <c r="G37" s="31">
        <f>AA70</f>
        <v>8.6</v>
      </c>
      <c r="H37" s="66">
        <f>AA71</f>
        <v>8.6</v>
      </c>
      <c r="I37" s="6"/>
      <c r="J37" s="6"/>
      <c r="K37" s="6"/>
      <c r="L37" s="6"/>
      <c r="AA37" s="7" t="e">
        <f>#REF!*D4</f>
        <v>#REF!</v>
      </c>
    </row>
    <row r="38" spans="1:27" ht="15.45" x14ac:dyDescent="0.4">
      <c r="A38" s="76" t="s">
        <v>75</v>
      </c>
      <c r="B38" s="61"/>
      <c r="C38" s="61"/>
      <c r="D38" s="64" t="s">
        <v>14</v>
      </c>
      <c r="E38" s="139">
        <v>1</v>
      </c>
      <c r="F38" s="142">
        <v>6.6</v>
      </c>
      <c r="G38" s="31">
        <f>AA72</f>
        <v>6.6</v>
      </c>
      <c r="H38" s="66">
        <f>AA73</f>
        <v>6.6</v>
      </c>
      <c r="I38" s="6"/>
      <c r="J38" s="6"/>
      <c r="K38" s="6"/>
      <c r="L38" s="6"/>
      <c r="AA38" s="8">
        <f>SUM(H73:H74)</f>
        <v>17</v>
      </c>
    </row>
    <row r="39" spans="1:27" ht="15.45" x14ac:dyDescent="0.4">
      <c r="A39" s="76" t="s">
        <v>77</v>
      </c>
      <c r="B39" s="61"/>
      <c r="C39" s="61"/>
      <c r="D39" s="64" t="s">
        <v>14</v>
      </c>
      <c r="E39" s="139">
        <v>1</v>
      </c>
      <c r="F39" s="142">
        <v>5.05</v>
      </c>
      <c r="G39" s="31">
        <f>AA74</f>
        <v>5.05</v>
      </c>
      <c r="H39" s="66">
        <f>AA75</f>
        <v>5.05</v>
      </c>
      <c r="I39" s="6"/>
      <c r="J39" s="6"/>
      <c r="K39" s="6"/>
      <c r="L39" s="6"/>
      <c r="AA39" s="7" t="e">
        <f>#REF!*#REF!</f>
        <v>#REF!</v>
      </c>
    </row>
    <row r="40" spans="1:27" ht="15.45" x14ac:dyDescent="0.4">
      <c r="A40" s="77" t="s">
        <v>78</v>
      </c>
      <c r="B40" s="61"/>
      <c r="C40" s="61"/>
      <c r="D40" s="64" t="s">
        <v>14</v>
      </c>
      <c r="E40" s="139"/>
      <c r="F40" s="142"/>
      <c r="G40" s="31">
        <f>AA76</f>
        <v>0</v>
      </c>
      <c r="H40" s="66">
        <f>AA77</f>
        <v>0</v>
      </c>
      <c r="I40" s="6"/>
      <c r="J40" s="6"/>
      <c r="K40" s="6"/>
      <c r="L40" s="6"/>
      <c r="AA40" s="7" t="e">
        <f>#REF!*D4</f>
        <v>#REF!</v>
      </c>
    </row>
    <row r="41" spans="1:27" ht="15.45" x14ac:dyDescent="0.4">
      <c r="A41" s="76" t="s">
        <v>80</v>
      </c>
      <c r="B41" s="61"/>
      <c r="C41" s="61"/>
      <c r="D41" s="64" t="s">
        <v>14</v>
      </c>
      <c r="E41" s="139">
        <v>1</v>
      </c>
      <c r="F41" s="142">
        <v>8.1999999999999993</v>
      </c>
      <c r="G41" s="31">
        <f>AA78</f>
        <v>8.1999999999999993</v>
      </c>
      <c r="H41" s="66">
        <f>AA79</f>
        <v>8.1999999999999993</v>
      </c>
      <c r="I41" s="6"/>
      <c r="J41" s="6"/>
      <c r="K41" s="6"/>
      <c r="L41" s="6"/>
      <c r="AA41" s="7">
        <f>E28*F28</f>
        <v>0</v>
      </c>
    </row>
    <row r="42" spans="1:27" ht="15.45" x14ac:dyDescent="0.4">
      <c r="A42" s="78"/>
      <c r="B42" s="61"/>
      <c r="C42" s="61"/>
      <c r="D42" s="61"/>
      <c r="E42" s="69"/>
      <c r="F42" s="61"/>
      <c r="G42" s="58"/>
      <c r="H42" s="59" t="s">
        <v>3</v>
      </c>
      <c r="I42" s="79"/>
      <c r="J42" s="79"/>
      <c r="K42" s="79"/>
      <c r="L42" s="6"/>
      <c r="AA42" s="7">
        <f>G28*D4</f>
        <v>0</v>
      </c>
    </row>
    <row r="43" spans="1:27" ht="15.45" x14ac:dyDescent="0.4">
      <c r="A43" s="60" t="s">
        <v>116</v>
      </c>
      <c r="B43" s="61"/>
      <c r="C43" s="61"/>
      <c r="D43" s="61"/>
      <c r="E43" s="80"/>
      <c r="F43" s="61"/>
      <c r="G43" s="49"/>
      <c r="H43" s="66">
        <f>AA81</f>
        <v>248.98399999999998</v>
      </c>
      <c r="I43" s="6"/>
      <c r="J43" s="6"/>
      <c r="K43" s="6"/>
      <c r="L43" s="6"/>
      <c r="AA43" s="7">
        <f>E29*F29</f>
        <v>0</v>
      </c>
    </row>
    <row r="44" spans="1:27" ht="15.45" x14ac:dyDescent="0.4">
      <c r="A44" s="67"/>
      <c r="B44" s="61"/>
      <c r="C44" s="61"/>
      <c r="D44" s="61"/>
      <c r="E44" s="80"/>
      <c r="F44" s="61"/>
      <c r="G44" s="49"/>
      <c r="H44" s="45"/>
      <c r="I44" s="6"/>
      <c r="J44" s="6"/>
      <c r="K44" s="6"/>
      <c r="L44" s="6"/>
      <c r="AA44" s="7">
        <f>G29*D4</f>
        <v>0</v>
      </c>
    </row>
    <row r="45" spans="1:27" ht="15.45" x14ac:dyDescent="0.4">
      <c r="A45" s="78"/>
      <c r="B45" s="61"/>
      <c r="C45" s="61"/>
      <c r="D45" s="61"/>
      <c r="E45" s="80"/>
      <c r="F45" s="69"/>
      <c r="G45" s="49"/>
      <c r="H45" s="59"/>
      <c r="I45" s="6"/>
      <c r="J45" s="6"/>
      <c r="K45" s="6"/>
      <c r="L45" s="6"/>
      <c r="AA45" s="7">
        <f>(1+0.33267*((E7-D16)/((C7-G7)/2)))</f>
        <v>2.3306800000000001</v>
      </c>
    </row>
    <row r="46" spans="1:27" ht="15.45" x14ac:dyDescent="0.4">
      <c r="A46" s="76" t="s">
        <v>82</v>
      </c>
      <c r="B46" s="61"/>
      <c r="C46" s="61"/>
      <c r="D46" s="81" t="s">
        <v>64</v>
      </c>
      <c r="E46" s="81" t="s">
        <v>65</v>
      </c>
      <c r="F46" s="81" t="s">
        <v>66</v>
      </c>
      <c r="G46" s="55" t="s">
        <v>67</v>
      </c>
      <c r="H46" s="56" t="s">
        <v>68</v>
      </c>
      <c r="I46" s="79"/>
      <c r="J46" s="79"/>
      <c r="K46" s="79"/>
      <c r="L46" s="6"/>
      <c r="AA46" s="8">
        <f>H70</f>
        <v>0</v>
      </c>
    </row>
    <row r="47" spans="1:27" ht="15.45" x14ac:dyDescent="0.4">
      <c r="A47" s="76" t="s">
        <v>83</v>
      </c>
      <c r="B47" s="61"/>
      <c r="C47" s="61"/>
      <c r="D47" s="64" t="s">
        <v>14</v>
      </c>
      <c r="E47" s="140">
        <v>1</v>
      </c>
      <c r="F47" s="140">
        <v>7.9</v>
      </c>
      <c r="G47" s="31">
        <f>AA82</f>
        <v>7.9</v>
      </c>
      <c r="H47" s="66">
        <f>AA83</f>
        <v>7.9</v>
      </c>
      <c r="I47" s="6"/>
      <c r="J47" s="6"/>
      <c r="K47" s="36"/>
      <c r="L47" s="6"/>
      <c r="AA47" s="7" t="e">
        <f>#REF!*#REF!</f>
        <v>#REF!</v>
      </c>
    </row>
    <row r="48" spans="1:27" ht="15.45" x14ac:dyDescent="0.4">
      <c r="A48" s="76" t="s">
        <v>84</v>
      </c>
      <c r="B48" s="61"/>
      <c r="C48" s="61"/>
      <c r="D48" s="64" t="s">
        <v>14</v>
      </c>
      <c r="E48" s="140">
        <v>1</v>
      </c>
      <c r="F48" s="140">
        <v>2.7</v>
      </c>
      <c r="G48" s="31">
        <f>AA84</f>
        <v>2.7</v>
      </c>
      <c r="H48" s="66">
        <f>AA85</f>
        <v>2.7</v>
      </c>
      <c r="I48" s="6"/>
      <c r="J48" s="6"/>
      <c r="K48" s="36"/>
      <c r="L48" s="6"/>
      <c r="AA48" s="7" t="e">
        <f>#REF!*D4</f>
        <v>#REF!</v>
      </c>
    </row>
    <row r="49" spans="1:27" ht="15.45" x14ac:dyDescent="0.4">
      <c r="A49" s="76" t="s">
        <v>85</v>
      </c>
      <c r="B49" s="61"/>
      <c r="C49" s="61"/>
      <c r="D49" s="64" t="s">
        <v>14</v>
      </c>
      <c r="E49" s="140"/>
      <c r="F49" s="140"/>
      <c r="G49" s="31">
        <f>AA86</f>
        <v>0</v>
      </c>
      <c r="H49" s="66">
        <f>AA87</f>
        <v>0</v>
      </c>
      <c r="I49" s="6"/>
      <c r="J49" s="6"/>
      <c r="K49" s="36"/>
      <c r="L49" s="6"/>
      <c r="AA49" s="8">
        <f>K34+0</f>
        <v>0</v>
      </c>
    </row>
    <row r="50" spans="1:27" ht="15.45" x14ac:dyDescent="0.4">
      <c r="A50" s="76" t="s">
        <v>86</v>
      </c>
      <c r="B50" s="61"/>
      <c r="C50" s="61"/>
      <c r="D50" s="64" t="s">
        <v>14</v>
      </c>
      <c r="E50" s="140">
        <v>1</v>
      </c>
      <c r="F50" s="140">
        <v>1.5</v>
      </c>
      <c r="G50" s="31">
        <f>AA88</f>
        <v>1.5</v>
      </c>
      <c r="H50" s="66">
        <f>AA89</f>
        <v>1.5</v>
      </c>
      <c r="I50" s="6"/>
      <c r="J50" s="6"/>
      <c r="K50" s="36"/>
      <c r="L50" s="6"/>
      <c r="AA50" s="7" t="e">
        <f>#REF!*#REF!</f>
        <v>#REF!</v>
      </c>
    </row>
    <row r="51" spans="1:27" ht="15.45" x14ac:dyDescent="0.4">
      <c r="A51" s="82"/>
      <c r="B51" s="61"/>
      <c r="C51" s="61"/>
      <c r="D51" s="61"/>
      <c r="E51" s="61"/>
      <c r="F51" s="61"/>
      <c r="G51" s="58"/>
      <c r="H51" s="59" t="s">
        <v>3</v>
      </c>
      <c r="I51" s="6"/>
      <c r="J51" s="6"/>
      <c r="K51" s="36"/>
      <c r="L51" s="6"/>
      <c r="AA51" s="7" t="e">
        <f>#REF!*D4</f>
        <v>#REF!</v>
      </c>
    </row>
    <row r="52" spans="1:27" ht="15.45" x14ac:dyDescent="0.4">
      <c r="A52" s="60" t="s">
        <v>117</v>
      </c>
      <c r="B52" s="61"/>
      <c r="C52" s="61"/>
      <c r="D52" s="61"/>
      <c r="E52" s="80"/>
      <c r="F52" s="69"/>
      <c r="G52" s="49"/>
      <c r="H52" s="66">
        <f>AA91</f>
        <v>12.100000000000001</v>
      </c>
      <c r="I52" s="6"/>
      <c r="J52" s="6"/>
      <c r="K52" s="36"/>
      <c r="L52" s="6"/>
      <c r="AA52" s="7" t="e">
        <f>#REF!*#REF!</f>
        <v>#REF!</v>
      </c>
    </row>
    <row r="53" spans="1:27" ht="15.45" x14ac:dyDescent="0.4">
      <c r="A53" s="67"/>
      <c r="B53" s="61"/>
      <c r="C53" s="61"/>
      <c r="D53" s="61"/>
      <c r="E53" s="80"/>
      <c r="F53" s="69"/>
      <c r="G53" s="58"/>
      <c r="H53" s="59" t="s">
        <v>3</v>
      </c>
      <c r="I53" s="6"/>
      <c r="J53" s="6"/>
      <c r="K53" s="36"/>
      <c r="L53" s="6"/>
      <c r="AA53" s="7" t="e">
        <f>#REF!*D4</f>
        <v>#REF!</v>
      </c>
    </row>
    <row r="54" spans="1:27" ht="15.45" x14ac:dyDescent="0.4">
      <c r="A54" s="60" t="s">
        <v>118</v>
      </c>
      <c r="B54" s="61"/>
      <c r="C54" s="61"/>
      <c r="D54" s="61"/>
      <c r="E54" s="80"/>
      <c r="F54" s="69"/>
      <c r="G54" s="49"/>
      <c r="H54" s="66">
        <f>AA93</f>
        <v>261.084</v>
      </c>
      <c r="I54" s="6"/>
      <c r="J54" s="6"/>
      <c r="K54" s="36"/>
      <c r="L54" s="6"/>
      <c r="AA54" s="7" t="e">
        <f>#REF!*#REF!</f>
        <v>#REF!</v>
      </c>
    </row>
    <row r="55" spans="1:27" ht="15.45" x14ac:dyDescent="0.4">
      <c r="A55" s="78"/>
      <c r="B55" s="61"/>
      <c r="C55" s="61"/>
      <c r="D55" s="61"/>
      <c r="E55" s="80"/>
      <c r="F55" s="69"/>
      <c r="G55" s="49"/>
      <c r="H55" s="45"/>
      <c r="I55" s="6"/>
      <c r="J55" s="6"/>
      <c r="K55" s="36"/>
      <c r="L55" s="6"/>
      <c r="AA55" s="7" t="e">
        <f>#REF!*D4</f>
        <v>#REF!</v>
      </c>
    </row>
    <row r="56" spans="1:27" ht="15.45" x14ac:dyDescent="0.4">
      <c r="A56" s="78"/>
      <c r="B56" s="61"/>
      <c r="C56" s="61"/>
      <c r="D56" s="81" t="s">
        <v>64</v>
      </c>
      <c r="E56" s="81" t="s">
        <v>65</v>
      </c>
      <c r="F56" s="81" t="s">
        <v>66</v>
      </c>
      <c r="G56" s="55" t="s">
        <v>67</v>
      </c>
      <c r="H56" s="56" t="s">
        <v>68</v>
      </c>
      <c r="I56" s="6"/>
      <c r="J56" s="36"/>
      <c r="K56" s="36"/>
      <c r="L56" s="6"/>
      <c r="AA56" s="7" t="e">
        <f>#REF!*#REF!</f>
        <v>#REF!</v>
      </c>
    </row>
    <row r="57" spans="1:27" ht="15.45" x14ac:dyDescent="0.4">
      <c r="A57" s="83" t="s">
        <v>119</v>
      </c>
      <c r="B57" s="61"/>
      <c r="C57" s="61"/>
      <c r="D57" s="84" t="s">
        <v>0</v>
      </c>
      <c r="E57" s="84" t="s">
        <v>1</v>
      </c>
      <c r="F57" s="84" t="s">
        <v>2</v>
      </c>
      <c r="G57" s="58" t="s">
        <v>3</v>
      </c>
      <c r="H57" s="59" t="s">
        <v>3</v>
      </c>
      <c r="I57" s="6"/>
      <c r="J57" s="36"/>
      <c r="K57" s="36"/>
      <c r="L57" s="6"/>
      <c r="AA57" s="7" t="e">
        <f>#REF!*D4</f>
        <v>#REF!</v>
      </c>
    </row>
    <row r="58" spans="1:27" ht="15.45" x14ac:dyDescent="0.4">
      <c r="A58" s="83" t="s">
        <v>120</v>
      </c>
      <c r="B58" s="61"/>
      <c r="C58" s="61"/>
      <c r="D58" s="61"/>
      <c r="E58" s="61"/>
      <c r="F58" s="28">
        <v>45.15</v>
      </c>
      <c r="G58" s="31">
        <f>AA94</f>
        <v>45.15</v>
      </c>
      <c r="H58" s="66">
        <f>AA95</f>
        <v>45.15</v>
      </c>
      <c r="I58" s="6"/>
      <c r="J58" s="6"/>
      <c r="K58" s="36"/>
      <c r="L58" s="6"/>
      <c r="AA58" s="7">
        <f>E30*F30</f>
        <v>11.2</v>
      </c>
    </row>
    <row r="59" spans="1:27" ht="15.45" x14ac:dyDescent="0.4">
      <c r="A59" s="83" t="str">
        <f>" OU amortie sur "&amp;FIXED(H14,0)&amp;" ans (laisser «entrée directe» à 0)"</f>
        <v xml:space="preserve"> OU amortie sur 7 ans (laisser «entrée directe» à 0)</v>
      </c>
      <c r="B59" s="61"/>
      <c r="C59" s="61"/>
      <c r="D59" s="61"/>
      <c r="E59" s="61"/>
      <c r="F59" s="61"/>
      <c r="G59" s="11">
        <v>0.2429</v>
      </c>
      <c r="H59" s="59" t="s">
        <v>15</v>
      </c>
      <c r="I59" s="6"/>
      <c r="J59" s="6"/>
      <c r="K59" s="36"/>
      <c r="L59" s="6"/>
      <c r="AA59" s="7">
        <f>G30*D4</f>
        <v>11.2</v>
      </c>
    </row>
    <row r="60" spans="1:27" ht="15.45" x14ac:dyDescent="0.4">
      <c r="A60" s="67" t="s">
        <v>88</v>
      </c>
      <c r="B60" s="61"/>
      <c r="C60" s="61"/>
      <c r="D60" s="61"/>
      <c r="E60" s="61"/>
      <c r="F60" s="69"/>
      <c r="G60" s="49"/>
      <c r="H60" s="45"/>
      <c r="I60" s="6"/>
      <c r="J60" s="36"/>
      <c r="K60" s="36"/>
      <c r="L60" s="6"/>
      <c r="AA60" s="7">
        <f>E31*F31</f>
        <v>21.85</v>
      </c>
    </row>
    <row r="61" spans="1:27" ht="17.149999999999999" x14ac:dyDescent="0.5">
      <c r="A61" s="67" t="s">
        <v>6</v>
      </c>
      <c r="B61" s="133" t="s">
        <v>141</v>
      </c>
      <c r="C61" s="61"/>
      <c r="D61" s="64" t="s">
        <v>7</v>
      </c>
      <c r="E61" s="28"/>
      <c r="F61" s="70"/>
      <c r="G61" s="31">
        <f>AA101</f>
        <v>0</v>
      </c>
      <c r="H61" s="66">
        <f>AA102</f>
        <v>0</v>
      </c>
      <c r="I61" s="6"/>
      <c r="J61" s="6"/>
      <c r="K61" s="36"/>
      <c r="L61" s="6"/>
      <c r="AA61" s="7">
        <f>G31*D4</f>
        <v>21.85</v>
      </c>
    </row>
    <row r="62" spans="1:27" ht="17.149999999999999" x14ac:dyDescent="0.5">
      <c r="A62" s="67" t="s">
        <v>10</v>
      </c>
      <c r="B62" s="133" t="s">
        <v>142</v>
      </c>
      <c r="C62" s="61"/>
      <c r="D62" s="64" t="s">
        <v>7</v>
      </c>
      <c r="E62" s="137"/>
      <c r="F62" s="70"/>
      <c r="G62" s="31">
        <f>AA103</f>
        <v>0</v>
      </c>
      <c r="H62" s="66">
        <f>AA104</f>
        <v>0</v>
      </c>
      <c r="I62" s="6"/>
      <c r="J62" s="6"/>
      <c r="K62" s="36"/>
      <c r="L62" s="6"/>
      <c r="AA62" s="7">
        <f>E32*F32</f>
        <v>0</v>
      </c>
    </row>
    <row r="63" spans="1:27" ht="15.45" x14ac:dyDescent="0.4">
      <c r="A63" s="67" t="s">
        <v>12</v>
      </c>
      <c r="B63" s="64" t="s">
        <v>146</v>
      </c>
      <c r="C63" s="61"/>
      <c r="D63" s="64" t="s">
        <v>7</v>
      </c>
      <c r="E63" s="28">
        <v>30.9</v>
      </c>
      <c r="F63" s="65">
        <v>1.7010000000000001</v>
      </c>
      <c r="G63" s="31">
        <f>AA105</f>
        <v>52.560899999999997</v>
      </c>
      <c r="H63" s="66">
        <f>AA106</f>
        <v>52.560899999999997</v>
      </c>
      <c r="I63" s="6"/>
      <c r="J63" s="6"/>
      <c r="K63" s="36"/>
      <c r="L63" s="6"/>
      <c r="AA63" s="7">
        <f>G32*D4</f>
        <v>0</v>
      </c>
    </row>
    <row r="64" spans="1:27" ht="15.45" x14ac:dyDescent="0.4">
      <c r="A64" s="67"/>
      <c r="B64" s="68"/>
      <c r="C64" s="61"/>
      <c r="D64" s="68"/>
      <c r="E64" s="85"/>
      <c r="F64" s="86"/>
      <c r="G64" s="31"/>
      <c r="H64" s="66"/>
      <c r="I64" s="6"/>
      <c r="J64" s="36"/>
      <c r="K64" s="36"/>
      <c r="L64" s="6"/>
      <c r="AA64" s="7">
        <f>E33*F33</f>
        <v>0</v>
      </c>
    </row>
    <row r="65" spans="1:27" ht="15.45" x14ac:dyDescent="0.4">
      <c r="A65" s="76" t="s">
        <v>46</v>
      </c>
      <c r="B65" s="61"/>
      <c r="C65" s="80"/>
      <c r="D65" s="61"/>
      <c r="E65" s="80"/>
      <c r="F65" s="80"/>
      <c r="G65" s="49"/>
      <c r="H65" s="45"/>
      <c r="I65" s="6"/>
      <c r="J65" s="6"/>
      <c r="K65" s="6"/>
      <c r="L65" s="6"/>
      <c r="AA65" s="7">
        <f>G33*D4</f>
        <v>0</v>
      </c>
    </row>
    <row r="66" spans="1:27" ht="15.45" x14ac:dyDescent="0.4">
      <c r="A66" s="67" t="s">
        <v>6</v>
      </c>
      <c r="B66" s="64" t="s">
        <v>16</v>
      </c>
      <c r="C66" s="61"/>
      <c r="D66" s="64" t="s">
        <v>7</v>
      </c>
      <c r="E66" s="28"/>
      <c r="F66" s="30"/>
      <c r="G66" s="31">
        <f>AA121</f>
        <v>0</v>
      </c>
      <c r="H66" s="66">
        <f>AA122</f>
        <v>0</v>
      </c>
      <c r="I66" s="6"/>
      <c r="J66" s="36"/>
      <c r="K66" s="36"/>
      <c r="L66" s="6"/>
      <c r="AA66" s="7">
        <f>E34*F34</f>
        <v>27.5</v>
      </c>
    </row>
    <row r="67" spans="1:27" ht="15.45" x14ac:dyDescent="0.4">
      <c r="A67" s="67" t="s">
        <v>10</v>
      </c>
      <c r="B67" s="64" t="s">
        <v>16</v>
      </c>
      <c r="C67" s="80"/>
      <c r="D67" s="64" t="s">
        <v>7</v>
      </c>
      <c r="E67" s="28"/>
      <c r="F67" s="30"/>
      <c r="G67" s="31">
        <f>AA123</f>
        <v>0</v>
      </c>
      <c r="H67" s="66">
        <f>AA124</f>
        <v>0</v>
      </c>
      <c r="I67" s="6"/>
      <c r="J67" s="6"/>
      <c r="K67" s="36"/>
      <c r="L67" s="6"/>
      <c r="AA67" s="7">
        <f>G34*D4</f>
        <v>27.5</v>
      </c>
    </row>
    <row r="68" spans="1:27" ht="15.45" x14ac:dyDescent="0.4">
      <c r="A68" s="78"/>
      <c r="B68" s="61"/>
      <c r="C68" s="80"/>
      <c r="D68" s="81" t="s">
        <v>64</v>
      </c>
      <c r="E68" s="81" t="s">
        <v>65</v>
      </c>
      <c r="F68" s="81" t="s">
        <v>66</v>
      </c>
      <c r="G68" s="55" t="s">
        <v>67</v>
      </c>
      <c r="H68" s="56" t="s">
        <v>68</v>
      </c>
      <c r="I68" s="6"/>
      <c r="J68" s="6"/>
      <c r="K68" s="36"/>
      <c r="L68" s="6"/>
      <c r="AA68" s="7">
        <f>E35*F35</f>
        <v>0</v>
      </c>
    </row>
    <row r="69" spans="1:27" ht="15.45" x14ac:dyDescent="0.4">
      <c r="A69" s="67" t="s">
        <v>89</v>
      </c>
      <c r="B69" s="61"/>
      <c r="C69" s="80"/>
      <c r="D69" s="84" t="s">
        <v>0</v>
      </c>
      <c r="E69" s="84" t="s">
        <v>1</v>
      </c>
      <c r="F69" s="84" t="s">
        <v>2</v>
      </c>
      <c r="G69" s="58" t="s">
        <v>3</v>
      </c>
      <c r="H69" s="59" t="s">
        <v>3</v>
      </c>
      <c r="I69" s="6"/>
      <c r="J69" s="6"/>
      <c r="K69" s="36"/>
      <c r="L69" s="6"/>
      <c r="AA69" s="7">
        <f>G35*D4</f>
        <v>0</v>
      </c>
    </row>
    <row r="70" spans="1:27" ht="15.45" x14ac:dyDescent="0.4">
      <c r="A70" s="63" t="s">
        <v>72</v>
      </c>
      <c r="B70" s="61"/>
      <c r="C70" s="61"/>
      <c r="D70" s="87" t="s">
        <v>92</v>
      </c>
      <c r="E70" s="84">
        <f>AA131</f>
        <v>0</v>
      </c>
      <c r="F70" s="88">
        <f>AA132</f>
        <v>0</v>
      </c>
      <c r="G70" s="31">
        <f>AA133</f>
        <v>0</v>
      </c>
      <c r="H70" s="66">
        <f>AA134</f>
        <v>0</v>
      </c>
      <c r="I70" s="6"/>
      <c r="J70" s="6"/>
      <c r="K70" s="36"/>
      <c r="L70" s="6"/>
      <c r="AA70" s="7">
        <f>E37*F37</f>
        <v>8.6</v>
      </c>
    </row>
    <row r="71" spans="1:27" ht="15.45" x14ac:dyDescent="0.4">
      <c r="A71" s="63" t="s">
        <v>90</v>
      </c>
      <c r="B71" s="61"/>
      <c r="C71" s="61"/>
      <c r="D71" s="89" t="s">
        <v>91</v>
      </c>
      <c r="E71" s="28"/>
      <c r="F71" s="30"/>
      <c r="G71" s="31">
        <f>AA135</f>
        <v>0</v>
      </c>
      <c r="H71" s="66">
        <f>AA136</f>
        <v>0</v>
      </c>
      <c r="I71" s="6"/>
      <c r="J71" s="6"/>
      <c r="K71" s="36"/>
      <c r="L71" s="6"/>
      <c r="AA71" s="7">
        <f>G37*D4</f>
        <v>8.6</v>
      </c>
    </row>
    <row r="72" spans="1:27" ht="15.45" x14ac:dyDescent="0.4">
      <c r="A72" s="68" t="s">
        <v>114</v>
      </c>
      <c r="B72" s="61"/>
      <c r="C72" s="80"/>
      <c r="D72" s="64" t="s">
        <v>14</v>
      </c>
      <c r="E72" s="28"/>
      <c r="F72" s="30"/>
      <c r="G72" s="31">
        <f>AA139</f>
        <v>0</v>
      </c>
      <c r="H72" s="66">
        <f>AA140</f>
        <v>0</v>
      </c>
      <c r="I72" s="6"/>
      <c r="J72" s="6"/>
      <c r="K72" s="36"/>
      <c r="L72" s="6"/>
      <c r="AA72" s="7">
        <f>E38*F38</f>
        <v>6.6</v>
      </c>
    </row>
    <row r="73" spans="1:27" ht="15.45" x14ac:dyDescent="0.4">
      <c r="A73" s="63" t="s">
        <v>73</v>
      </c>
      <c r="B73" s="61"/>
      <c r="C73" s="61"/>
      <c r="D73" s="61"/>
      <c r="E73" s="61"/>
      <c r="F73" s="69"/>
      <c r="G73" s="49"/>
      <c r="H73" s="45"/>
      <c r="I73" s="6"/>
      <c r="J73" s="6"/>
      <c r="K73" s="36"/>
      <c r="L73" s="6"/>
      <c r="AA73" s="7">
        <f>G38*D4</f>
        <v>6.6</v>
      </c>
    </row>
    <row r="74" spans="1:27" ht="15.45" x14ac:dyDescent="0.4">
      <c r="A74" s="72" t="s">
        <v>121</v>
      </c>
      <c r="B74" s="61"/>
      <c r="C74" s="61"/>
      <c r="D74" s="64" t="s">
        <v>14</v>
      </c>
      <c r="E74" s="28">
        <v>1</v>
      </c>
      <c r="F74" s="30">
        <v>17</v>
      </c>
      <c r="G74" s="31">
        <f>AA141</f>
        <v>17</v>
      </c>
      <c r="H74" s="66">
        <f>AA142</f>
        <v>17</v>
      </c>
      <c r="I74" s="6"/>
      <c r="J74" s="6"/>
      <c r="K74" s="36"/>
      <c r="L74" s="6"/>
      <c r="AA74" s="7">
        <f>E39*F39</f>
        <v>5.05</v>
      </c>
    </row>
    <row r="75" spans="1:27" ht="15.45" x14ac:dyDescent="0.4">
      <c r="A75" s="73" t="s">
        <v>123</v>
      </c>
      <c r="B75" s="61"/>
      <c r="C75" s="61"/>
      <c r="D75" s="64" t="s">
        <v>5</v>
      </c>
      <c r="E75" s="28">
        <v>1</v>
      </c>
      <c r="F75" s="30">
        <v>102.3</v>
      </c>
      <c r="G75" s="31">
        <f>AA144</f>
        <v>102.3</v>
      </c>
      <c r="H75" s="66">
        <f>AA145</f>
        <v>102.3</v>
      </c>
      <c r="I75" s="6"/>
      <c r="J75" s="36"/>
      <c r="K75" s="36"/>
      <c r="L75" s="6"/>
      <c r="AA75" s="7">
        <f>G39*D4</f>
        <v>5.05</v>
      </c>
    </row>
    <row r="76" spans="1:27" ht="15.45" x14ac:dyDescent="0.4">
      <c r="A76" s="78"/>
      <c r="B76" s="61"/>
      <c r="C76" s="61"/>
      <c r="D76" s="61"/>
      <c r="E76" s="61"/>
      <c r="F76" s="61"/>
      <c r="G76" s="10"/>
      <c r="H76" s="29"/>
      <c r="I76" s="6"/>
      <c r="J76" s="36"/>
      <c r="K76" s="36"/>
      <c r="L76" s="6"/>
      <c r="AA76" s="7">
        <f>E40*F40</f>
        <v>0</v>
      </c>
    </row>
    <row r="77" spans="1:27" ht="15.45" x14ac:dyDescent="0.4">
      <c r="A77" s="78"/>
      <c r="B77" s="61"/>
      <c r="C77" s="80"/>
      <c r="D77" s="84"/>
      <c r="E77" s="90" t="s">
        <v>17</v>
      </c>
      <c r="F77" s="61"/>
      <c r="G77" s="37"/>
      <c r="H77" s="26"/>
      <c r="I77" s="6"/>
      <c r="J77" s="36"/>
      <c r="K77" s="36"/>
      <c r="L77" s="6"/>
      <c r="AA77" s="7">
        <f>G40*D4</f>
        <v>0</v>
      </c>
    </row>
    <row r="78" spans="1:27" ht="22.5" customHeight="1" x14ac:dyDescent="0.4">
      <c r="A78" s="78"/>
      <c r="B78" s="61"/>
      <c r="C78" s="80"/>
      <c r="D78" s="84" t="s">
        <v>18</v>
      </c>
      <c r="E78" s="90" t="s">
        <v>19</v>
      </c>
      <c r="F78" s="61"/>
      <c r="G78" s="55" t="s">
        <v>67</v>
      </c>
      <c r="H78" s="56" t="s">
        <v>68</v>
      </c>
      <c r="I78" s="6"/>
      <c r="J78" s="36"/>
      <c r="K78" s="36"/>
      <c r="L78" s="6"/>
      <c r="AA78" s="7">
        <f>E41*F41</f>
        <v>8.1999999999999993</v>
      </c>
    </row>
    <row r="79" spans="1:27" ht="15.45" x14ac:dyDescent="0.4">
      <c r="A79" s="76" t="s">
        <v>74</v>
      </c>
      <c r="B79" s="61"/>
      <c r="C79" s="80"/>
      <c r="D79" s="143">
        <v>40.1</v>
      </c>
      <c r="E79" s="91">
        <f ca="1">AA146</f>
        <v>0</v>
      </c>
      <c r="F79" s="69"/>
      <c r="G79" s="31">
        <f ca="1">AA147</f>
        <v>40.1</v>
      </c>
      <c r="H79" s="66">
        <f ca="1">AA148</f>
        <v>40.1</v>
      </c>
      <c r="I79" s="6"/>
      <c r="J79" s="6"/>
      <c r="K79" s="6"/>
      <c r="L79" s="6"/>
      <c r="AA79" s="7">
        <f>G41*D4</f>
        <v>8.1999999999999993</v>
      </c>
    </row>
    <row r="80" spans="1:27" ht="15.45" x14ac:dyDescent="0.4">
      <c r="A80" s="76" t="s">
        <v>75</v>
      </c>
      <c r="B80" s="61"/>
      <c r="C80" s="80"/>
      <c r="D80" s="143">
        <v>38.1</v>
      </c>
      <c r="E80" s="91">
        <f ca="1">AA149</f>
        <v>0</v>
      </c>
      <c r="F80" s="69"/>
      <c r="G80" s="31">
        <f ca="1">AA150</f>
        <v>38.1</v>
      </c>
      <c r="H80" s="66">
        <f ca="1">AA151</f>
        <v>38.1</v>
      </c>
      <c r="I80" s="6"/>
      <c r="J80" s="6"/>
      <c r="K80" s="36"/>
      <c r="L80" s="6"/>
      <c r="AA80" s="8">
        <f>SUM(G25:G41)</f>
        <v>248.98399999999998</v>
      </c>
    </row>
    <row r="81" spans="1:27" ht="15.45" x14ac:dyDescent="0.4">
      <c r="A81" s="76" t="s">
        <v>93</v>
      </c>
      <c r="B81" s="61"/>
      <c r="C81" s="80"/>
      <c r="D81" s="143"/>
      <c r="E81" s="91">
        <f ca="1">AA152</f>
        <v>0</v>
      </c>
      <c r="F81" s="69"/>
      <c r="G81" s="31">
        <f ca="1">AA153</f>
        <v>0</v>
      </c>
      <c r="H81" s="66">
        <f ca="1">AA154</f>
        <v>0</v>
      </c>
      <c r="I81" s="6"/>
      <c r="J81" s="6"/>
      <c r="K81" s="36"/>
      <c r="L81" s="6"/>
      <c r="AA81" s="8">
        <f>SUM(H25:H41)</f>
        <v>248.98399999999998</v>
      </c>
    </row>
    <row r="82" spans="1:27" ht="15.45" x14ac:dyDescent="0.4">
      <c r="A82" s="76" t="s">
        <v>76</v>
      </c>
      <c r="B82" s="61"/>
      <c r="C82" s="80"/>
      <c r="D82" s="143">
        <v>15.55</v>
      </c>
      <c r="E82" s="91">
        <f ca="1">AA155</f>
        <v>0</v>
      </c>
      <c r="F82" s="69"/>
      <c r="G82" s="31">
        <f ca="1">AA156</f>
        <v>15.55</v>
      </c>
      <c r="H82" s="66">
        <f ca="1">AA157</f>
        <v>15.55</v>
      </c>
      <c r="I82" s="79"/>
      <c r="J82" s="6"/>
      <c r="K82" s="36"/>
      <c r="L82" s="6"/>
      <c r="AA82" s="7">
        <f>E47*F47</f>
        <v>7.9</v>
      </c>
    </row>
    <row r="83" spans="1:27" ht="15.45" x14ac:dyDescent="0.4">
      <c r="A83" s="77" t="s">
        <v>78</v>
      </c>
      <c r="B83" s="61"/>
      <c r="C83" s="80"/>
      <c r="D83" s="28"/>
      <c r="E83" s="91">
        <f ca="1">AA158</f>
        <v>0</v>
      </c>
      <c r="F83" s="61"/>
      <c r="G83" s="31">
        <f ca="1">AA159</f>
        <v>0</v>
      </c>
      <c r="H83" s="66">
        <f ca="1">AA160</f>
        <v>0</v>
      </c>
      <c r="I83" s="79"/>
      <c r="J83" s="6"/>
      <c r="K83" s="36"/>
      <c r="L83" s="6"/>
      <c r="AA83" s="7">
        <f>G47*D4</f>
        <v>7.9</v>
      </c>
    </row>
    <row r="84" spans="1:27" ht="15.45" x14ac:dyDescent="0.4">
      <c r="A84" s="76" t="s">
        <v>79</v>
      </c>
      <c r="B84" s="61"/>
      <c r="C84" s="92" t="s">
        <v>95</v>
      </c>
      <c r="D84" s="92" t="s">
        <v>96</v>
      </c>
      <c r="E84" s="90"/>
      <c r="F84" s="69"/>
      <c r="G84" s="49"/>
      <c r="H84" s="93"/>
      <c r="I84" s="79"/>
      <c r="J84" s="6"/>
      <c r="K84" s="36"/>
      <c r="L84" s="6"/>
      <c r="AA84" s="7">
        <f>E48*F48</f>
        <v>2.7</v>
      </c>
    </row>
    <row r="85" spans="1:27" ht="15.45" x14ac:dyDescent="0.4">
      <c r="A85" s="76" t="s">
        <v>94</v>
      </c>
      <c r="B85" s="61"/>
      <c r="C85" s="28">
        <v>6.95</v>
      </c>
      <c r="D85" s="28">
        <v>50</v>
      </c>
      <c r="E85" s="91">
        <f ca="1">AA161</f>
        <v>0</v>
      </c>
      <c r="F85" s="61"/>
      <c r="G85" s="31">
        <f ca="1">AA162</f>
        <v>9</v>
      </c>
      <c r="H85" s="66">
        <f ca="1">AA163</f>
        <v>9</v>
      </c>
      <c r="I85" s="79"/>
      <c r="J85" s="6"/>
      <c r="K85" s="36"/>
      <c r="L85" s="6"/>
      <c r="AA85" s="7">
        <f>G48*D4</f>
        <v>2.7</v>
      </c>
    </row>
    <row r="86" spans="1:27" ht="15.45" x14ac:dyDescent="0.4">
      <c r="A86" s="78"/>
      <c r="B86" s="61"/>
      <c r="C86" s="61"/>
      <c r="D86" s="61"/>
      <c r="E86" s="90"/>
      <c r="F86" s="69"/>
      <c r="G86" s="58" t="s">
        <v>3</v>
      </c>
      <c r="H86" s="59" t="s">
        <v>3</v>
      </c>
      <c r="I86" s="6"/>
      <c r="J86" s="6"/>
      <c r="K86" s="36"/>
      <c r="L86" s="6"/>
      <c r="AA86" s="7">
        <f>E49*F49</f>
        <v>0</v>
      </c>
    </row>
    <row r="87" spans="1:27" ht="15.45" x14ac:dyDescent="0.4">
      <c r="A87" s="76" t="s">
        <v>81</v>
      </c>
      <c r="B87" s="61"/>
      <c r="C87" s="61"/>
      <c r="D87" s="61"/>
      <c r="E87" s="90"/>
      <c r="F87" s="61"/>
      <c r="G87" s="31">
        <f ca="1">AA164</f>
        <v>319.76090000000005</v>
      </c>
      <c r="H87" s="66">
        <f ca="1">AA165</f>
        <v>319.76090000000005</v>
      </c>
      <c r="I87" s="79"/>
      <c r="J87" s="79"/>
      <c r="K87" s="36"/>
      <c r="L87" s="6"/>
      <c r="AA87" s="7">
        <f>G49*D4</f>
        <v>0</v>
      </c>
    </row>
    <row r="88" spans="1:27" ht="15.45" x14ac:dyDescent="0.4">
      <c r="A88" s="94"/>
      <c r="B88" s="61"/>
      <c r="C88" s="80"/>
      <c r="D88" s="92" t="s">
        <v>97</v>
      </c>
      <c r="E88" s="90" t="s">
        <v>17</v>
      </c>
      <c r="F88" s="80"/>
      <c r="G88" s="49"/>
      <c r="H88" s="45"/>
      <c r="I88" s="79"/>
      <c r="J88" s="79"/>
      <c r="K88" s="6"/>
      <c r="L88" s="6"/>
      <c r="AA88" s="7">
        <f>E50*F50</f>
        <v>1.5</v>
      </c>
    </row>
    <row r="89" spans="1:27" ht="15.45" x14ac:dyDescent="0.4">
      <c r="A89" s="76" t="s">
        <v>82</v>
      </c>
      <c r="B89" s="61"/>
      <c r="C89" s="80"/>
      <c r="D89" s="92" t="s">
        <v>98</v>
      </c>
      <c r="E89" s="90" t="s">
        <v>19</v>
      </c>
      <c r="F89" s="69"/>
      <c r="G89" s="55" t="s">
        <v>67</v>
      </c>
      <c r="H89" s="56" t="s">
        <v>68</v>
      </c>
      <c r="I89" s="79"/>
      <c r="J89" s="79"/>
      <c r="K89" s="6"/>
      <c r="L89" s="6"/>
      <c r="AA89" s="7">
        <f>G50*D4</f>
        <v>1.5</v>
      </c>
    </row>
    <row r="90" spans="1:27" ht="15.45" x14ac:dyDescent="0.4">
      <c r="A90" s="76" t="s">
        <v>83</v>
      </c>
      <c r="B90" s="61"/>
      <c r="C90" s="80"/>
      <c r="D90" s="141">
        <v>42.75</v>
      </c>
      <c r="E90" s="91">
        <f ca="1">AA166</f>
        <v>0</v>
      </c>
      <c r="F90" s="69"/>
      <c r="G90" s="31">
        <f ca="1">AA167</f>
        <v>42.75</v>
      </c>
      <c r="H90" s="66">
        <f ca="1">AA168</f>
        <v>42.75</v>
      </c>
      <c r="I90" s="79"/>
      <c r="J90" s="79"/>
      <c r="K90" s="6"/>
      <c r="L90" s="6"/>
      <c r="AA90" s="8">
        <f>SUM(G47:G50)</f>
        <v>12.100000000000001</v>
      </c>
    </row>
    <row r="91" spans="1:27" ht="15.45" x14ac:dyDescent="0.4">
      <c r="A91" s="76" t="s">
        <v>84</v>
      </c>
      <c r="B91" s="61"/>
      <c r="C91" s="61"/>
      <c r="D91" s="141">
        <v>16.399999999999999</v>
      </c>
      <c r="E91" s="91">
        <f ca="1">AA169</f>
        <v>0</v>
      </c>
      <c r="F91" s="61"/>
      <c r="G91" s="31">
        <f ca="1">AA170</f>
        <v>16.399999999999999</v>
      </c>
      <c r="H91" s="66">
        <f ca="1">AA171</f>
        <v>16.399999999999999</v>
      </c>
      <c r="I91" s="79"/>
      <c r="J91" s="6"/>
      <c r="K91" s="6"/>
      <c r="L91" s="6"/>
      <c r="AA91" s="8">
        <f>SUM(H47:H50)</f>
        <v>12.100000000000001</v>
      </c>
    </row>
    <row r="92" spans="1:27" ht="15.45" x14ac:dyDescent="0.4">
      <c r="A92" s="95" t="s">
        <v>135</v>
      </c>
      <c r="B92" s="61"/>
      <c r="C92" s="61"/>
      <c r="D92" s="141" t="s">
        <v>2</v>
      </c>
      <c r="E92" s="91"/>
      <c r="F92" s="61"/>
      <c r="G92" s="31">
        <f>AA172</f>
        <v>0</v>
      </c>
      <c r="H92" s="66">
        <f>AA173</f>
        <v>0</v>
      </c>
      <c r="I92" s="79"/>
      <c r="J92" s="6"/>
      <c r="K92" s="6"/>
      <c r="L92" s="6"/>
      <c r="AA92" s="8">
        <f>SUM(AA90,AA80)</f>
        <v>261.084</v>
      </c>
    </row>
    <row r="93" spans="1:27" ht="15.45" x14ac:dyDescent="0.4">
      <c r="A93" s="76" t="s">
        <v>85</v>
      </c>
      <c r="B93" s="61"/>
      <c r="C93" s="61"/>
      <c r="D93" s="141"/>
      <c r="E93" s="91">
        <f ca="1">AA174</f>
        <v>0</v>
      </c>
      <c r="F93" s="69"/>
      <c r="G93" s="31">
        <f ca="1">AA175</f>
        <v>0</v>
      </c>
      <c r="H93" s="66">
        <f ca="1">AA176</f>
        <v>0</v>
      </c>
      <c r="I93" s="96" t="s">
        <v>136</v>
      </c>
      <c r="J93" s="79"/>
      <c r="K93" s="36"/>
      <c r="L93" s="6"/>
      <c r="AA93" s="8">
        <f>SUM(AA91,AA81)</f>
        <v>261.084</v>
      </c>
    </row>
    <row r="94" spans="1:27" ht="15.45" x14ac:dyDescent="0.4">
      <c r="A94" s="77" t="s">
        <v>86</v>
      </c>
      <c r="B94" s="61"/>
      <c r="C94" s="61"/>
      <c r="D94" s="141">
        <v>9.4499999999999993</v>
      </c>
      <c r="E94" s="91">
        <f ca="1">AA177</f>
        <v>0</v>
      </c>
      <c r="F94" s="61"/>
      <c r="G94" s="31">
        <f ca="1">AA178</f>
        <v>9.4499999999999993</v>
      </c>
      <c r="H94" s="66">
        <f ca="1">AA179</f>
        <v>9.4499999999999993</v>
      </c>
      <c r="I94" s="96" t="s">
        <v>137</v>
      </c>
      <c r="J94" s="79"/>
      <c r="K94" s="36"/>
      <c r="L94" s="6"/>
      <c r="AA94" s="7">
        <f>H58/D4</f>
        <v>45.15</v>
      </c>
    </row>
    <row r="95" spans="1:27" ht="15.45" x14ac:dyDescent="0.4">
      <c r="A95" s="82"/>
      <c r="B95" s="61"/>
      <c r="C95" s="61"/>
      <c r="D95" s="61"/>
      <c r="E95" s="80"/>
      <c r="F95" s="69"/>
      <c r="G95" s="58" t="s">
        <v>3</v>
      </c>
      <c r="H95" s="59" t="s">
        <v>3</v>
      </c>
      <c r="I95" s="96" t="s">
        <v>138</v>
      </c>
      <c r="J95" s="79"/>
      <c r="K95" s="36"/>
      <c r="L95" s="6"/>
      <c r="AA95" s="7">
        <f>IF(F58&gt;0,F58,PMT(H15-H16,H14,-H54+F99*E11))</f>
        <v>45.15</v>
      </c>
    </row>
    <row r="96" spans="1:27" ht="15.45" x14ac:dyDescent="0.4">
      <c r="A96" s="76" t="s">
        <v>87</v>
      </c>
      <c r="B96" s="61"/>
      <c r="C96" s="61"/>
      <c r="D96" s="61"/>
      <c r="E96" s="80"/>
      <c r="F96" s="69"/>
      <c r="G96" s="31">
        <f ca="1">AA180</f>
        <v>68.599999999999994</v>
      </c>
      <c r="H96" s="66">
        <f ca="1">AA181</f>
        <v>68.599999999999994</v>
      </c>
      <c r="I96" s="79"/>
      <c r="J96" s="79"/>
      <c r="K96" s="36"/>
      <c r="L96" s="6"/>
      <c r="AA96" s="7" t="str">
        <f>" -OR- Amortized over "&amp;FIXED(H14,0,TRUE)&amp;" years (Leave Dir. Entry at 0)"</f>
        <v xml:space="preserve"> -OR- Amortized over 7 years (Leave Dir. Entry at 0)</v>
      </c>
    </row>
    <row r="97" spans="1:27" ht="15.45" x14ac:dyDescent="0.4">
      <c r="A97" s="20"/>
      <c r="B97" s="20"/>
      <c r="C97" s="20"/>
      <c r="D97" s="20"/>
      <c r="E97" s="20"/>
      <c r="F97" s="20"/>
      <c r="G97" s="20"/>
      <c r="H97" s="20"/>
      <c r="I97" s="79"/>
      <c r="J97" s="79"/>
      <c r="K97" s="6"/>
      <c r="L97" s="6"/>
      <c r="AA97" s="7" t="e">
        <f>#REF!*#REF!</f>
        <v>#REF!</v>
      </c>
    </row>
    <row r="98" spans="1:27" ht="15.45" x14ac:dyDescent="0.4">
      <c r="A98" s="97" t="s">
        <v>99</v>
      </c>
      <c r="B98" s="10"/>
      <c r="C98" s="10"/>
      <c r="D98" s="10"/>
      <c r="E98" s="58" t="s">
        <v>67</v>
      </c>
      <c r="F98" s="58" t="s">
        <v>68</v>
      </c>
      <c r="G98" s="10"/>
      <c r="H98" s="29"/>
      <c r="I98" s="79"/>
      <c r="J98" s="79"/>
      <c r="K98" s="6"/>
      <c r="L98" s="6"/>
      <c r="AA98" s="7" t="e">
        <f>#REF!*D4</f>
        <v>#REF!</v>
      </c>
    </row>
    <row r="99" spans="1:27" ht="15.45" x14ac:dyDescent="0.4">
      <c r="A99" s="97" t="s">
        <v>100</v>
      </c>
      <c r="B99" s="10"/>
      <c r="C99" s="10"/>
      <c r="D99" s="10"/>
      <c r="E99" s="31">
        <f>AA183</f>
        <v>720</v>
      </c>
      <c r="F99" s="31">
        <f>AA184</f>
        <v>720</v>
      </c>
      <c r="G99" s="10"/>
      <c r="H99" s="29"/>
      <c r="I99" s="79"/>
      <c r="J99" s="79"/>
      <c r="K99" s="6"/>
      <c r="L99" s="6"/>
      <c r="AA99" s="7" t="e">
        <f>#REF!*#REF!</f>
        <v>#REF!</v>
      </c>
    </row>
    <row r="100" spans="1:27" ht="15.45" x14ac:dyDescent="0.4">
      <c r="A100" s="97"/>
      <c r="B100" s="18"/>
      <c r="C100" s="10"/>
      <c r="D100" s="18"/>
      <c r="E100" s="31"/>
      <c r="F100" s="31"/>
      <c r="G100" s="98"/>
      <c r="H100" s="93"/>
      <c r="I100" s="79"/>
      <c r="J100" s="6"/>
      <c r="K100" s="6"/>
      <c r="L100" s="6"/>
      <c r="AA100" s="7" t="e">
        <f>#REF!*D4</f>
        <v>#REF!</v>
      </c>
    </row>
    <row r="101" spans="1:27" ht="15.45" x14ac:dyDescent="0.4">
      <c r="A101" s="97" t="s">
        <v>101</v>
      </c>
      <c r="B101" s="18"/>
      <c r="C101" s="10"/>
      <c r="D101" s="10"/>
      <c r="E101" s="31">
        <f ca="1">AA187</f>
        <v>319.76090000000005</v>
      </c>
      <c r="F101" s="31">
        <f ca="1">AA188</f>
        <v>319.76090000000005</v>
      </c>
      <c r="G101" s="37"/>
      <c r="H101" s="93"/>
      <c r="I101" s="79"/>
      <c r="J101" s="6"/>
      <c r="K101" s="6"/>
      <c r="L101" s="6"/>
      <c r="AA101" s="7">
        <f>F61*E61</f>
        <v>0</v>
      </c>
    </row>
    <row r="102" spans="1:27" ht="15.45" x14ac:dyDescent="0.4">
      <c r="A102" s="21"/>
      <c r="B102" s="10"/>
      <c r="C102" s="10"/>
      <c r="D102" s="10"/>
      <c r="E102" s="58" t="s">
        <v>3</v>
      </c>
      <c r="F102" s="58" t="s">
        <v>3</v>
      </c>
      <c r="G102" s="10"/>
      <c r="H102" s="93"/>
      <c r="I102" s="79"/>
      <c r="J102" s="79"/>
      <c r="K102" s="6"/>
      <c r="L102" s="6"/>
      <c r="AA102" s="7">
        <f>G61*D4</f>
        <v>0</v>
      </c>
    </row>
    <row r="103" spans="1:27" ht="15.45" x14ac:dyDescent="0.4">
      <c r="A103" s="97" t="s">
        <v>102</v>
      </c>
      <c r="B103" s="10"/>
      <c r="C103" s="18"/>
      <c r="D103" s="10"/>
      <c r="E103" s="31">
        <f ca="1">AA189</f>
        <v>400.23909999999995</v>
      </c>
      <c r="F103" s="31">
        <f ca="1">AA190</f>
        <v>400.23909999999995</v>
      </c>
      <c r="G103" s="10"/>
      <c r="H103" s="29"/>
      <c r="I103" s="79"/>
      <c r="J103" s="79"/>
      <c r="K103" s="6"/>
      <c r="L103" s="6"/>
      <c r="AA103" s="7">
        <f>F62*E62</f>
        <v>0</v>
      </c>
    </row>
    <row r="104" spans="1:27" ht="15.45" x14ac:dyDescent="0.4">
      <c r="A104" s="97" t="s">
        <v>103</v>
      </c>
      <c r="B104" s="10"/>
      <c r="C104" s="18"/>
      <c r="D104" s="10"/>
      <c r="E104" s="31">
        <f ca="1">AA191</f>
        <v>68.599999999999994</v>
      </c>
      <c r="F104" s="31">
        <f ca="1">AA192</f>
        <v>68.599999999999994</v>
      </c>
      <c r="G104" s="49"/>
      <c r="H104" s="45"/>
      <c r="I104" s="79"/>
      <c r="J104" s="79"/>
      <c r="K104" s="6"/>
      <c r="L104" s="6"/>
      <c r="AA104" s="7">
        <f>G62*D4</f>
        <v>0</v>
      </c>
    </row>
    <row r="105" spans="1:27" ht="15.45" x14ac:dyDescent="0.4">
      <c r="A105" s="21"/>
      <c r="B105" s="10"/>
      <c r="C105" s="10"/>
      <c r="D105" s="10"/>
      <c r="E105" s="58" t="s">
        <v>3</v>
      </c>
      <c r="F105" s="58" t="s">
        <v>3</v>
      </c>
      <c r="G105" s="49"/>
      <c r="H105" s="45"/>
      <c r="I105" s="79"/>
      <c r="J105" s="79"/>
      <c r="K105" s="6"/>
      <c r="L105" s="6"/>
      <c r="AA105" s="7">
        <f>F63*E63</f>
        <v>52.560899999999997</v>
      </c>
    </row>
    <row r="106" spans="1:27" ht="15.45" x14ac:dyDescent="0.4">
      <c r="A106" s="97" t="s">
        <v>104</v>
      </c>
      <c r="B106" s="10"/>
      <c r="C106" s="49"/>
      <c r="D106" s="10"/>
      <c r="E106" s="31">
        <f ca="1">AA193</f>
        <v>331.63909999999998</v>
      </c>
      <c r="F106" s="31">
        <f ca="1">AA194</f>
        <v>331.63909999999998</v>
      </c>
      <c r="G106" s="49"/>
      <c r="H106" s="45"/>
      <c r="I106" s="79"/>
      <c r="J106" s="6"/>
      <c r="K106" s="6"/>
      <c r="L106" s="6"/>
      <c r="AA106" s="7">
        <f>G63*D4</f>
        <v>52.560899999999997</v>
      </c>
    </row>
    <row r="107" spans="1:27" ht="15.45" x14ac:dyDescent="0.4">
      <c r="A107" s="21"/>
      <c r="B107" s="10"/>
      <c r="C107" s="49"/>
      <c r="D107" s="10"/>
      <c r="E107" s="10"/>
      <c r="F107" s="10"/>
      <c r="G107" s="49"/>
      <c r="H107" s="45"/>
      <c r="I107" s="79"/>
      <c r="J107" s="6"/>
      <c r="K107" s="6"/>
      <c r="L107" s="6"/>
      <c r="AA107" s="7" t="e">
        <f>#REF!*#REF!</f>
        <v>#REF!</v>
      </c>
    </row>
    <row r="108" spans="1:27" ht="15.45" x14ac:dyDescent="0.4">
      <c r="A108" s="97" t="s">
        <v>105</v>
      </c>
      <c r="B108" s="10"/>
      <c r="C108" s="49"/>
      <c r="D108" s="10"/>
      <c r="E108" s="99" t="s">
        <v>107</v>
      </c>
      <c r="F108" s="49"/>
      <c r="G108" s="43">
        <f ca="1">AA195</f>
        <v>79.940225000000012</v>
      </c>
      <c r="H108" s="45"/>
      <c r="I108" s="79"/>
      <c r="J108" s="6"/>
      <c r="K108" s="6"/>
      <c r="L108" s="6"/>
      <c r="AA108" s="7" t="e">
        <f>#REF!*D4</f>
        <v>#REF!</v>
      </c>
    </row>
    <row r="109" spans="1:27" ht="15.45" x14ac:dyDescent="0.4">
      <c r="A109" s="100" t="s">
        <v>106</v>
      </c>
      <c r="B109" s="18"/>
      <c r="C109" s="18"/>
      <c r="D109" s="18"/>
      <c r="E109" s="99" t="s">
        <v>108</v>
      </c>
      <c r="F109" s="18"/>
      <c r="G109" s="43">
        <f ca="1">AA196</f>
        <v>17.149999999999999</v>
      </c>
      <c r="H109" s="26"/>
      <c r="I109" s="79"/>
      <c r="J109" s="79"/>
      <c r="K109" s="6"/>
      <c r="L109" s="6"/>
      <c r="AA109" s="7" t="e">
        <f>#REF!*#REF!</f>
        <v>#REF!</v>
      </c>
    </row>
    <row r="110" spans="1:27" ht="15.45" x14ac:dyDescent="0.4">
      <c r="A110" s="21"/>
      <c r="B110" s="10"/>
      <c r="C110" s="49"/>
      <c r="D110" s="10"/>
      <c r="E110" s="101"/>
      <c r="F110" s="37"/>
      <c r="G110" s="58" t="s">
        <v>3</v>
      </c>
      <c r="H110" s="45"/>
      <c r="I110" s="79"/>
      <c r="J110" s="79"/>
      <c r="K110" s="6"/>
      <c r="L110" s="6"/>
      <c r="AA110" s="7" t="e">
        <f>#REF!*D4</f>
        <v>#REF!</v>
      </c>
    </row>
    <row r="111" spans="1:27" ht="15.45" x14ac:dyDescent="0.4">
      <c r="A111" s="14"/>
      <c r="B111" s="10"/>
      <c r="C111" s="18"/>
      <c r="D111" s="10"/>
      <c r="E111" s="99" t="s">
        <v>109</v>
      </c>
      <c r="F111" s="37"/>
      <c r="G111" s="43">
        <f ca="1">AA197</f>
        <v>97.090225000000004</v>
      </c>
      <c r="H111" s="45"/>
      <c r="I111" s="79"/>
      <c r="J111" s="79"/>
      <c r="K111" s="36"/>
      <c r="L111" s="6"/>
      <c r="AA111" s="7" t="e">
        <f>#REF!*#REF!</f>
        <v>#REF!</v>
      </c>
    </row>
    <row r="112" spans="1:27" ht="15.45" x14ac:dyDescent="0.4">
      <c r="A112" s="20"/>
      <c r="B112" s="20"/>
      <c r="C112" s="20"/>
      <c r="D112" s="20"/>
      <c r="E112" s="20"/>
      <c r="F112" s="20"/>
      <c r="G112" s="20"/>
      <c r="H112" s="20"/>
      <c r="I112" s="79"/>
      <c r="J112" s="79"/>
      <c r="K112" s="36"/>
      <c r="L112" s="6"/>
      <c r="AA112" s="7" t="e">
        <f>#REF!*D4</f>
        <v>#REF!</v>
      </c>
    </row>
    <row r="113" spans="1:27" ht="15.45" x14ac:dyDescent="0.4">
      <c r="A113" s="14"/>
      <c r="B113" s="99" t="s">
        <v>110</v>
      </c>
      <c r="C113" s="10"/>
      <c r="D113" s="10"/>
      <c r="E113" s="10"/>
      <c r="F113" s="10"/>
      <c r="G113" s="102">
        <f ca="1">AA198</f>
        <v>0.82300273420643</v>
      </c>
      <c r="H113" s="29"/>
      <c r="I113" s="79"/>
      <c r="J113" s="79"/>
      <c r="K113" s="57" t="s">
        <v>20</v>
      </c>
      <c r="L113" s="6"/>
      <c r="AA113" s="7" t="e">
        <f>#REF!*#REF!</f>
        <v>#REF!</v>
      </c>
    </row>
    <row r="114" spans="1:27" ht="15.45" x14ac:dyDescent="0.4">
      <c r="A114" s="14"/>
      <c r="B114" s="99" t="s">
        <v>111</v>
      </c>
      <c r="C114" s="10"/>
      <c r="D114" s="28">
        <v>0</v>
      </c>
      <c r="E114" s="99" t="s">
        <v>127</v>
      </c>
      <c r="F114" s="37"/>
      <c r="G114" s="102">
        <f ca="1">AA199</f>
        <v>0.82300273420643</v>
      </c>
      <c r="H114" s="45"/>
      <c r="I114" s="79"/>
      <c r="J114" s="6"/>
      <c r="K114" s="57" t="s">
        <v>21</v>
      </c>
      <c r="L114" s="6"/>
      <c r="AA114" s="7" t="e">
        <f>#REF!*D4</f>
        <v>#REF!</v>
      </c>
    </row>
    <row r="115" spans="1:27" ht="15.45" x14ac:dyDescent="0.4">
      <c r="A115" s="14"/>
      <c r="B115" s="99"/>
      <c r="C115" s="10"/>
      <c r="D115" s="85"/>
      <c r="E115" s="99"/>
      <c r="F115" s="37"/>
      <c r="G115" s="102"/>
      <c r="H115" s="45"/>
      <c r="I115" s="79"/>
      <c r="J115" s="6"/>
      <c r="K115" s="57" t="s">
        <v>22</v>
      </c>
      <c r="L115" s="6"/>
      <c r="AA115" s="7" t="e">
        <f>#REF!*#REF!</f>
        <v>#REF!</v>
      </c>
    </row>
    <row r="116" spans="1:27" ht="15.45" x14ac:dyDescent="0.4">
      <c r="A116" s="14"/>
      <c r="B116" s="103"/>
      <c r="C116" s="103" t="s">
        <v>140</v>
      </c>
      <c r="D116" s="22" t="s">
        <v>139</v>
      </c>
      <c r="E116" s="18"/>
      <c r="F116" s="37"/>
      <c r="G116" s="43">
        <f>AA200</f>
        <v>0.49695251841152344</v>
      </c>
      <c r="H116" s="104" t="str">
        <f>IF(G116&lt;=0.2499,"Risque peu élevé",IF(AND(G116&gt;0.2499,G116&lt;0.4),"Risque moyen","Risque élevé"))</f>
        <v>Risque élevé</v>
      </c>
      <c r="I116" s="79"/>
      <c r="J116" s="79"/>
      <c r="K116" s="57" t="s">
        <v>23</v>
      </c>
      <c r="L116" s="6"/>
      <c r="AA116" s="7" t="e">
        <f>#REF!*D4</f>
        <v>#REF!</v>
      </c>
    </row>
    <row r="117" spans="1:27" ht="15.45" x14ac:dyDescent="0.4">
      <c r="A117" s="14"/>
      <c r="B117" s="18"/>
      <c r="C117" s="18"/>
      <c r="D117" s="10"/>
      <c r="E117" s="18"/>
      <c r="F117" s="98"/>
      <c r="G117" s="37"/>
      <c r="H117" s="105" t="s">
        <v>30</v>
      </c>
      <c r="I117" s="79"/>
      <c r="J117" s="79"/>
      <c r="K117" s="57" t="s">
        <v>24</v>
      </c>
      <c r="L117" s="6"/>
      <c r="AA117" s="7" t="e">
        <f>#REF!*#REF!</f>
        <v>#REF!</v>
      </c>
    </row>
    <row r="118" spans="1:27" ht="15.45" x14ac:dyDescent="0.4">
      <c r="A118" s="14"/>
      <c r="B118" s="10"/>
      <c r="C118" s="55" t="s">
        <v>128</v>
      </c>
      <c r="D118" s="55"/>
      <c r="E118" s="55" t="s">
        <v>112</v>
      </c>
      <c r="F118" s="37"/>
      <c r="G118" s="49"/>
      <c r="H118" s="105" t="s">
        <v>31</v>
      </c>
      <c r="I118" s="79"/>
      <c r="J118" s="79"/>
      <c r="K118" s="36"/>
      <c r="L118" s="6"/>
      <c r="AA118" s="7" t="e">
        <f>#REF!*D4</f>
        <v>#REF!</v>
      </c>
    </row>
    <row r="119" spans="1:27" ht="15.45" x14ac:dyDescent="0.4">
      <c r="A119" s="14"/>
      <c r="B119" s="10"/>
      <c r="C119" s="55" t="s">
        <v>113</v>
      </c>
      <c r="D119" s="106"/>
      <c r="E119" s="55" t="s">
        <v>129</v>
      </c>
      <c r="F119" s="37"/>
      <c r="G119" s="49"/>
      <c r="H119" s="105" t="s">
        <v>32</v>
      </c>
      <c r="I119" s="79"/>
      <c r="J119" s="79"/>
      <c r="K119" s="36"/>
      <c r="L119" s="6"/>
      <c r="AA119" s="7" t="e">
        <f>#REF!*#REF!</f>
        <v>#REF!</v>
      </c>
    </row>
    <row r="120" spans="1:27" ht="15.45" x14ac:dyDescent="0.4">
      <c r="A120" s="14"/>
      <c r="B120" s="10"/>
      <c r="C120" s="31"/>
      <c r="D120" s="107"/>
      <c r="E120" s="58"/>
      <c r="F120" s="10"/>
      <c r="G120" s="11"/>
      <c r="H120" s="105" t="s">
        <v>33</v>
      </c>
      <c r="I120" s="79"/>
      <c r="J120" s="51">
        <f ca="1">AA182</f>
        <v>9</v>
      </c>
      <c r="K120" s="57" t="s">
        <v>25</v>
      </c>
      <c r="L120" s="6"/>
      <c r="AA120" s="7" t="e">
        <f>#REF!*D4</f>
        <v>#REF!</v>
      </c>
    </row>
    <row r="121" spans="1:27" ht="15.45" x14ac:dyDescent="0.4">
      <c r="A121" s="14"/>
      <c r="B121" s="10"/>
      <c r="C121" s="31">
        <f ca="1">AA201</f>
        <v>678.71073885860801</v>
      </c>
      <c r="D121" s="107"/>
      <c r="E121" s="58" t="s">
        <v>34</v>
      </c>
      <c r="F121" s="37"/>
      <c r="G121" s="49"/>
      <c r="H121" s="93"/>
      <c r="I121" s="79"/>
      <c r="J121" s="79"/>
      <c r="K121" s="79"/>
      <c r="L121" s="6"/>
      <c r="AA121" s="7">
        <f>F66*E66</f>
        <v>0</v>
      </c>
    </row>
    <row r="122" spans="1:27" ht="15.45" x14ac:dyDescent="0.4">
      <c r="A122" s="14"/>
      <c r="B122" s="10"/>
      <c r="C122" s="31">
        <f ca="1">AA202</f>
        <v>485.49559970020766</v>
      </c>
      <c r="D122" s="107"/>
      <c r="E122" s="58" t="s">
        <v>35</v>
      </c>
      <c r="F122" s="37"/>
      <c r="G122" s="49"/>
      <c r="H122" s="105" t="s">
        <v>36</v>
      </c>
      <c r="I122" s="79"/>
      <c r="J122" s="79"/>
      <c r="K122" s="79"/>
      <c r="L122" s="6"/>
      <c r="AA122" s="7">
        <f>G66*D4</f>
        <v>0</v>
      </c>
    </row>
    <row r="123" spans="1:27" ht="15.45" x14ac:dyDescent="0.4">
      <c r="A123" s="14"/>
      <c r="B123" s="49"/>
      <c r="C123" s="31">
        <f ca="1">AA203</f>
        <v>331.63909999999998</v>
      </c>
      <c r="D123" s="107"/>
      <c r="E123" s="58" t="s">
        <v>37</v>
      </c>
      <c r="F123" s="37"/>
      <c r="G123" s="49"/>
      <c r="H123" s="105" t="s">
        <v>38</v>
      </c>
      <c r="I123" s="6"/>
      <c r="J123" s="6"/>
      <c r="K123" s="6"/>
      <c r="L123" s="6"/>
      <c r="AA123" s="7">
        <f>F67*E67</f>
        <v>0</v>
      </c>
    </row>
    <row r="124" spans="1:27" ht="15.45" x14ac:dyDescent="0.4">
      <c r="A124" s="14"/>
      <c r="B124" s="49"/>
      <c r="C124" s="31">
        <f ca="1">AA205</f>
        <v>177.78260029979234</v>
      </c>
      <c r="D124" s="107"/>
      <c r="E124" s="58" t="s">
        <v>39</v>
      </c>
      <c r="F124" s="10"/>
      <c r="G124" s="11"/>
      <c r="H124" s="105" t="s">
        <v>40</v>
      </c>
      <c r="I124" s="79"/>
      <c r="J124" s="6"/>
      <c r="K124" s="6"/>
      <c r="L124" s="6"/>
      <c r="AA124" s="7">
        <f>G67*D4</f>
        <v>0</v>
      </c>
    </row>
    <row r="125" spans="1:27" ht="15.45" x14ac:dyDescent="0.4">
      <c r="A125" s="14"/>
      <c r="B125" s="49"/>
      <c r="C125" s="31">
        <f ca="1">AA207</f>
        <v>-15.432538858607984</v>
      </c>
      <c r="D125" s="107"/>
      <c r="E125" s="58" t="s">
        <v>41</v>
      </c>
      <c r="F125" s="10"/>
      <c r="G125" s="108"/>
      <c r="H125" s="105" t="s">
        <v>42</v>
      </c>
      <c r="I125" s="79"/>
      <c r="J125" s="6"/>
      <c r="K125" s="36"/>
      <c r="L125" s="6"/>
      <c r="AA125" s="7" t="e">
        <f>#REF!*#REF!</f>
        <v>#REF!</v>
      </c>
    </row>
    <row r="126" spans="1:27" ht="15.45" x14ac:dyDescent="0.4">
      <c r="A126" s="14"/>
      <c r="B126" s="18"/>
      <c r="C126" s="49"/>
      <c r="D126" s="10"/>
      <c r="E126" s="18"/>
      <c r="F126" s="10"/>
      <c r="G126" s="11"/>
      <c r="H126" s="105" t="s">
        <v>43</v>
      </c>
      <c r="I126" s="79"/>
      <c r="J126" s="6"/>
      <c r="K126" s="57" t="s">
        <v>26</v>
      </c>
      <c r="L126" s="6"/>
      <c r="AA126" s="7" t="e">
        <f>#REF!*D4</f>
        <v>#REF!</v>
      </c>
    </row>
    <row r="127" spans="1:27" ht="15.45" x14ac:dyDescent="0.4">
      <c r="A127" s="14"/>
      <c r="B127" s="17"/>
      <c r="C127" s="10"/>
      <c r="D127" s="10"/>
      <c r="E127" s="52"/>
      <c r="F127" s="10"/>
      <c r="G127" s="10"/>
      <c r="H127" s="93"/>
      <c r="I127" s="79"/>
      <c r="J127" s="6"/>
      <c r="K127" s="57" t="s">
        <v>27</v>
      </c>
      <c r="L127" s="6"/>
      <c r="AA127" s="7" t="e">
        <f>#REF!*#REF!</f>
        <v>#REF!</v>
      </c>
    </row>
    <row r="128" spans="1:27" ht="15.45" x14ac:dyDescent="0.4">
      <c r="A128" s="109" t="s">
        <v>130</v>
      </c>
      <c r="B128" s="110"/>
      <c r="C128" s="110"/>
      <c r="D128" s="110"/>
      <c r="E128" s="110"/>
      <c r="F128" s="110"/>
      <c r="G128" s="110"/>
      <c r="H128" s="111"/>
      <c r="I128" s="79"/>
      <c r="J128" s="6"/>
      <c r="K128" s="57" t="s">
        <v>28</v>
      </c>
      <c r="L128" s="6"/>
      <c r="AA128" s="7" t="e">
        <f>#REF!*D4</f>
        <v>#REF!</v>
      </c>
    </row>
    <row r="129" spans="1:27" ht="15.45" x14ac:dyDescent="0.4">
      <c r="A129" s="112" t="s">
        <v>131</v>
      </c>
      <c r="B129" s="113"/>
      <c r="C129" s="113"/>
      <c r="D129" s="114"/>
      <c r="E129" s="113"/>
      <c r="F129" s="113"/>
      <c r="G129" s="113"/>
      <c r="H129" s="115"/>
      <c r="I129" s="79"/>
      <c r="J129" s="79"/>
      <c r="K129" s="57" t="s">
        <v>29</v>
      </c>
      <c r="L129" s="6"/>
      <c r="AA129" s="7" t="e">
        <f>#REF!*#REF!</f>
        <v>#REF!</v>
      </c>
    </row>
    <row r="130" spans="1:27" ht="15.45" x14ac:dyDescent="0.4">
      <c r="A130" s="116"/>
      <c r="B130" s="113"/>
      <c r="C130" s="113"/>
      <c r="D130" s="113"/>
      <c r="E130" s="113"/>
      <c r="F130" s="113"/>
      <c r="G130" s="113"/>
      <c r="H130" s="115"/>
      <c r="I130" s="79"/>
      <c r="J130" s="79"/>
      <c r="K130" s="36"/>
      <c r="L130" s="6"/>
      <c r="AA130" s="7" t="e">
        <f>#REF!*D4</f>
        <v>#REF!</v>
      </c>
    </row>
    <row r="131" spans="1:27" ht="15.45" x14ac:dyDescent="0.4">
      <c r="A131" s="117"/>
      <c r="B131" s="113"/>
      <c r="C131" s="113"/>
      <c r="D131" s="117" t="s">
        <v>132</v>
      </c>
      <c r="E131" s="118"/>
      <c r="F131" s="118"/>
      <c r="G131" s="113"/>
      <c r="H131" s="115"/>
      <c r="I131" s="6"/>
      <c r="J131" s="6"/>
      <c r="K131" s="36"/>
      <c r="L131" s="6"/>
      <c r="AA131" s="7">
        <f>IF(UPPER(LEFT(D20,1))="O",1,0)</f>
        <v>0</v>
      </c>
    </row>
    <row r="132" spans="1:27" ht="15.45" x14ac:dyDescent="0.4">
      <c r="A132" s="119"/>
      <c r="B132" s="113"/>
      <c r="C132" s="113"/>
      <c r="D132" s="117" t="s">
        <v>133</v>
      </c>
      <c r="E132" s="118"/>
      <c r="F132" s="118"/>
      <c r="G132" s="113"/>
      <c r="H132" s="115"/>
      <c r="I132" s="79"/>
      <c r="J132" s="79"/>
      <c r="K132" s="79"/>
      <c r="L132" s="6"/>
      <c r="AA132" s="120">
        <f>D14</f>
        <v>0</v>
      </c>
    </row>
    <row r="133" spans="1:27" ht="15.45" x14ac:dyDescent="0.4">
      <c r="A133" s="116"/>
      <c r="B133" s="113"/>
      <c r="C133" s="113"/>
      <c r="D133" s="121" t="s">
        <v>143</v>
      </c>
      <c r="E133" s="118"/>
      <c r="F133" s="118"/>
      <c r="G133" s="113"/>
      <c r="H133" s="115"/>
      <c r="I133" s="79"/>
      <c r="J133" s="79"/>
      <c r="K133" s="79"/>
      <c r="L133" s="6"/>
      <c r="AA133" s="7">
        <f>F70*E70</f>
        <v>0</v>
      </c>
    </row>
    <row r="134" spans="1:27" ht="15.45" x14ac:dyDescent="0.4">
      <c r="A134" s="116"/>
      <c r="B134" s="113"/>
      <c r="C134" s="113"/>
      <c r="D134" s="122" t="s">
        <v>134</v>
      </c>
      <c r="E134" s="118"/>
      <c r="F134" s="118"/>
      <c r="G134" s="113"/>
      <c r="H134" s="115"/>
      <c r="I134" s="79"/>
      <c r="J134" s="79"/>
      <c r="K134" s="79"/>
      <c r="L134" s="6"/>
      <c r="AA134" s="7">
        <f>G70*D4</f>
        <v>0</v>
      </c>
    </row>
    <row r="135" spans="1:27" ht="15.45" x14ac:dyDescent="0.4">
      <c r="A135" s="123"/>
      <c r="B135" s="124"/>
      <c r="C135" s="124"/>
      <c r="D135" s="134"/>
      <c r="E135" s="125"/>
      <c r="F135" s="125"/>
      <c r="G135" s="126"/>
      <c r="H135" s="127"/>
      <c r="I135" s="79"/>
      <c r="J135" s="79"/>
      <c r="K135" s="79"/>
      <c r="L135" s="6"/>
      <c r="AA135" s="7">
        <f>F71*E71</f>
        <v>0</v>
      </c>
    </row>
    <row r="136" spans="1:27" ht="15.45" x14ac:dyDescent="0.4">
      <c r="A136" s="138" t="s">
        <v>147</v>
      </c>
      <c r="B136" s="135"/>
      <c r="C136" s="135"/>
      <c r="D136" s="135"/>
      <c r="E136" s="135"/>
      <c r="F136" s="135"/>
      <c r="G136" s="135"/>
      <c r="H136" s="135"/>
      <c r="I136" s="79"/>
      <c r="J136" s="79"/>
      <c r="K136" s="79"/>
      <c r="L136" s="6"/>
      <c r="AA136" s="7">
        <f>G71*D4</f>
        <v>0</v>
      </c>
    </row>
    <row r="137" spans="1:27" ht="15.45" x14ac:dyDescent="0.4">
      <c r="A137" s="128"/>
      <c r="B137" s="128"/>
      <c r="C137" s="128"/>
      <c r="D137" s="129"/>
      <c r="E137" s="128"/>
      <c r="F137" s="128"/>
      <c r="G137" s="128"/>
      <c r="H137" s="128"/>
      <c r="I137" s="6"/>
      <c r="J137" s="6"/>
      <c r="K137" s="6"/>
      <c r="L137" s="6"/>
      <c r="AA137" s="7" t="e">
        <f>#REF!*#REF!</f>
        <v>#REF!</v>
      </c>
    </row>
    <row r="138" spans="1:27" ht="15.45" x14ac:dyDescent="0.4">
      <c r="A138" s="128"/>
      <c r="B138" s="128"/>
      <c r="C138" s="128"/>
      <c r="D138" s="128"/>
      <c r="E138" s="128"/>
      <c r="F138" s="128"/>
      <c r="G138" s="128"/>
      <c r="H138" s="128"/>
      <c r="I138" s="6"/>
      <c r="J138" s="6"/>
      <c r="K138" s="6"/>
      <c r="L138" s="6"/>
      <c r="AA138" s="7" t="e">
        <f>#REF!*D4</f>
        <v>#REF!</v>
      </c>
    </row>
    <row r="139" spans="1:27" ht="15.45" x14ac:dyDescent="0.4">
      <c r="A139" s="128"/>
      <c r="B139" s="128"/>
      <c r="C139" s="128"/>
      <c r="D139" s="128"/>
      <c r="E139" s="128"/>
      <c r="F139" s="128"/>
      <c r="G139" s="128"/>
      <c r="H139" s="128"/>
      <c r="I139" s="6"/>
      <c r="J139" s="6"/>
      <c r="K139" s="6"/>
      <c r="L139" s="6"/>
      <c r="AA139" s="7">
        <f>F72*E72</f>
        <v>0</v>
      </c>
    </row>
    <row r="140" spans="1:27" ht="15.45" x14ac:dyDescent="0.4">
      <c r="A140" s="128"/>
      <c r="B140" s="128"/>
      <c r="C140" s="128"/>
      <c r="D140" s="128"/>
      <c r="E140" s="128"/>
      <c r="F140" s="128"/>
      <c r="G140" s="128"/>
      <c r="H140" s="128"/>
      <c r="I140" s="6"/>
      <c r="J140" s="6"/>
      <c r="K140" s="6"/>
      <c r="L140" s="6"/>
      <c r="AA140" s="7">
        <f>G72*D4</f>
        <v>0</v>
      </c>
    </row>
    <row r="141" spans="1:27" ht="15.45" x14ac:dyDescent="0.4">
      <c r="A141" s="128"/>
      <c r="B141" s="128"/>
      <c r="C141" s="128"/>
      <c r="D141" s="128"/>
      <c r="E141" s="128"/>
      <c r="F141" s="128"/>
      <c r="G141" s="128"/>
      <c r="H141" s="128"/>
      <c r="I141" s="6"/>
      <c r="J141" s="6"/>
      <c r="K141" s="6"/>
      <c r="L141" s="6"/>
      <c r="AA141" s="7">
        <f>E74*F74</f>
        <v>17</v>
      </c>
    </row>
    <row r="142" spans="1:27" ht="15.45" x14ac:dyDescent="0.4">
      <c r="A142" s="128"/>
      <c r="B142" s="128"/>
      <c r="C142" s="128"/>
      <c r="D142" s="128"/>
      <c r="E142" s="128"/>
      <c r="F142" s="128"/>
      <c r="G142" s="128"/>
      <c r="H142" s="128"/>
      <c r="I142" s="6"/>
      <c r="J142" s="6"/>
      <c r="K142" s="6"/>
      <c r="L142" s="6"/>
      <c r="AA142" s="7">
        <f>G74*D4</f>
        <v>17</v>
      </c>
    </row>
    <row r="143" spans="1:27" ht="15.45" x14ac:dyDescent="0.4">
      <c r="A143" s="128"/>
      <c r="B143" s="128"/>
      <c r="C143" s="128"/>
      <c r="D143" s="128"/>
      <c r="E143" s="128"/>
      <c r="F143" s="128"/>
      <c r="G143" s="128"/>
      <c r="H143" s="128"/>
      <c r="I143" s="6"/>
      <c r="J143" s="6"/>
      <c r="K143" s="6"/>
      <c r="L143" s="6"/>
      <c r="AA143" s="7">
        <f>1285/6000</f>
        <v>0.21416666666666667</v>
      </c>
    </row>
    <row r="144" spans="1:27" ht="15.45" x14ac:dyDescent="0.4">
      <c r="A144" s="128"/>
      <c r="B144" s="128"/>
      <c r="C144" s="128"/>
      <c r="D144" s="128"/>
      <c r="E144" s="128"/>
      <c r="F144" s="128"/>
      <c r="G144" s="128"/>
      <c r="H144" s="128"/>
      <c r="I144" s="6"/>
      <c r="J144" s="6"/>
      <c r="K144" s="6"/>
      <c r="L144" s="6"/>
      <c r="AA144" s="7">
        <f>F75*E75</f>
        <v>102.3</v>
      </c>
    </row>
    <row r="145" spans="1:27" ht="15.45" x14ac:dyDescent="0.4">
      <c r="A145" s="128"/>
      <c r="B145" s="128"/>
      <c r="C145" s="128"/>
      <c r="D145" s="128"/>
      <c r="E145" s="128"/>
      <c r="F145" s="128"/>
      <c r="G145" s="128"/>
      <c r="H145" s="128"/>
      <c r="I145" s="79"/>
      <c r="J145" s="6"/>
      <c r="K145" s="6"/>
      <c r="L145" s="6"/>
      <c r="AA145" s="7">
        <f>G75*D4</f>
        <v>102.3</v>
      </c>
    </row>
    <row r="146" spans="1:27" ht="15.45" x14ac:dyDescent="0.4">
      <c r="A146" s="128"/>
      <c r="B146" s="128"/>
      <c r="C146" s="128"/>
      <c r="D146" s="128"/>
      <c r="E146" s="128"/>
      <c r="F146" s="128"/>
      <c r="G146" s="128"/>
      <c r="H146" s="128"/>
      <c r="I146" s="130">
        <f ca="1">AA204</f>
        <v>331.63909999999998</v>
      </c>
      <c r="J146" s="6"/>
      <c r="K146" s="6"/>
      <c r="L146" s="6"/>
      <c r="AA146" s="7">
        <f ca="1">IF(K113=0,0,HLOOKUP(A2,INDIRECT(K22),2, FALSE)*INDIRECT(K113)*0.01)</f>
        <v>0</v>
      </c>
    </row>
    <row r="147" spans="1:27" ht="15.45" x14ac:dyDescent="0.4">
      <c r="A147" s="128"/>
      <c r="B147" s="128"/>
      <c r="C147" s="128"/>
      <c r="D147" s="128"/>
      <c r="E147" s="128"/>
      <c r="F147" s="128"/>
      <c r="G147" s="128"/>
      <c r="H147" s="128"/>
      <c r="I147" s="130">
        <f>AA206</f>
        <v>1</v>
      </c>
      <c r="J147" s="6"/>
      <c r="K147" s="6"/>
      <c r="L147" s="6"/>
      <c r="AA147" s="7">
        <f ca="1">H79/D4</f>
        <v>40.1</v>
      </c>
    </row>
    <row r="148" spans="1:27" ht="15.45" x14ac:dyDescent="0.4">
      <c r="A148" s="128"/>
      <c r="B148" s="128"/>
      <c r="C148" s="128"/>
      <c r="D148" s="128"/>
      <c r="E148" s="128"/>
      <c r="F148" s="128"/>
      <c r="G148" s="128"/>
      <c r="H148" s="128"/>
      <c r="I148" s="130">
        <f>AA208</f>
        <v>75</v>
      </c>
      <c r="J148" s="6"/>
      <c r="K148" s="6"/>
      <c r="L148" s="6"/>
      <c r="AA148" s="7">
        <f ca="1">IF(E79=0,D79*D4,IF(INDIRECT(K113)&gt;0,E79,D79*D4))</f>
        <v>40.1</v>
      </c>
    </row>
    <row r="149" spans="1:27" ht="15.45" x14ac:dyDescent="0.4">
      <c r="A149" s="128"/>
      <c r="B149" s="128"/>
      <c r="C149" s="128"/>
      <c r="D149" s="128"/>
      <c r="E149" s="128"/>
      <c r="F149" s="128"/>
      <c r="G149" s="128"/>
      <c r="H149" s="128"/>
      <c r="I149" s="130">
        <f>AA209</f>
        <v>357.80581325629686</v>
      </c>
      <c r="J149" s="6"/>
      <c r="K149" s="6"/>
      <c r="L149" s="6"/>
      <c r="AA149" s="7">
        <f ca="1">IF(K114=0,0,HLOOKUP(A2,INDIRECT(K22),3, FALSE)*INDIRECT(K114)*0.01)</f>
        <v>0</v>
      </c>
    </row>
    <row r="150" spans="1:27" ht="15.45" x14ac:dyDescent="0.4">
      <c r="A150" s="128"/>
      <c r="B150" s="128"/>
      <c r="C150" s="128"/>
      <c r="D150" s="128"/>
      <c r="E150" s="128"/>
      <c r="F150" s="128"/>
      <c r="G150" s="128"/>
      <c r="H150" s="128"/>
      <c r="I150" s="79"/>
      <c r="J150" s="79"/>
      <c r="K150" s="6"/>
      <c r="L150" s="6"/>
      <c r="AA150" s="7">
        <f ca="1">H80/D4</f>
        <v>38.1</v>
      </c>
    </row>
    <row r="151" spans="1:27" ht="15.45" x14ac:dyDescent="0.4">
      <c r="A151" s="128"/>
      <c r="B151" s="128"/>
      <c r="C151" s="128"/>
      <c r="D151" s="128"/>
      <c r="E151" s="128"/>
      <c r="F151" s="128"/>
      <c r="G151" s="128"/>
      <c r="H151" s="128"/>
      <c r="I151" s="130">
        <f ca="1">AA210</f>
        <v>0.92686895436896211</v>
      </c>
      <c r="J151" s="130">
        <f ca="1">AA211</f>
        <v>0.92686895436896211</v>
      </c>
      <c r="K151" s="6"/>
      <c r="L151" s="6"/>
      <c r="AA151" s="7">
        <f ca="1">IF(E80=0,D80*D4,IF(INDIRECT(K114)&gt;0,E80,D80*D4))</f>
        <v>38.1</v>
      </c>
    </row>
    <row r="152" spans="1:27" ht="15.45" x14ac:dyDescent="0.4">
      <c r="A152" s="128"/>
      <c r="B152" s="128"/>
      <c r="C152" s="128"/>
      <c r="D152" s="128"/>
      <c r="E152" s="128"/>
      <c r="F152" s="128"/>
      <c r="G152" s="128"/>
      <c r="H152" s="128"/>
      <c r="I152" s="130">
        <f ca="1">AA212</f>
        <v>0.82324739631217825</v>
      </c>
      <c r="J152" s="130">
        <f ca="1">AA213</f>
        <v>0.82324739631217825</v>
      </c>
      <c r="K152" s="6"/>
      <c r="L152" s="6"/>
      <c r="AA152" s="7">
        <f ca="1">IF(K115=0,0,HLOOKUP(A2,INDIRECT(K22),4, FALSE)*INDIRECT(K115)*0.01)</f>
        <v>0</v>
      </c>
    </row>
    <row r="153" spans="1:27" ht="15.45" x14ac:dyDescent="0.4">
      <c r="A153" s="128"/>
      <c r="B153" s="128"/>
      <c r="C153" s="128"/>
      <c r="D153" s="128"/>
      <c r="E153" s="128"/>
      <c r="F153" s="128"/>
      <c r="G153" s="128"/>
      <c r="H153" s="128"/>
      <c r="I153" s="130">
        <f ca="1">AA214</f>
        <v>0.25963420018130123</v>
      </c>
      <c r="J153" s="130">
        <f ca="1">AA215</f>
        <v>0.25963420018130123</v>
      </c>
      <c r="K153" s="6"/>
      <c r="L153" s="6"/>
      <c r="AA153" s="7">
        <f ca="1">H81/D4</f>
        <v>0</v>
      </c>
    </row>
    <row r="154" spans="1:27" ht="15.45" x14ac:dyDescent="0.4">
      <c r="A154" s="128"/>
      <c r="B154" s="128"/>
      <c r="C154" s="128"/>
      <c r="D154" s="128"/>
      <c r="E154" s="128"/>
      <c r="F154" s="128"/>
      <c r="G154" s="128"/>
      <c r="H154" s="128"/>
      <c r="I154" s="130">
        <f ca="1">AA216</f>
        <v>0.17699726579356997</v>
      </c>
      <c r="J154" s="130">
        <f ca="1">AA217</f>
        <v>0.17699726579356997</v>
      </c>
      <c r="K154" s="6"/>
      <c r="L154" s="6"/>
      <c r="AA154" s="7">
        <f ca="1">IF(E81=0,D81*D4,IF(INDIRECT(K115)&gt;0,E81,D81*D4))</f>
        <v>0</v>
      </c>
    </row>
    <row r="155" spans="1:27" ht="15.45" x14ac:dyDescent="0.4">
      <c r="A155" s="128"/>
      <c r="B155" s="128"/>
      <c r="C155" s="128"/>
      <c r="D155" s="128"/>
      <c r="E155" s="128"/>
      <c r="F155" s="128"/>
      <c r="G155" s="128"/>
      <c r="H155" s="128"/>
      <c r="I155" s="79"/>
      <c r="J155" s="79"/>
      <c r="K155" s="6"/>
      <c r="L155" s="6"/>
      <c r="AA155" s="7">
        <f ca="1">IF(K116=0,0,HLOOKUP(A2,INDIRECT(K22),5, FALSE)*INDIRECT(K116)*0.01)</f>
        <v>0</v>
      </c>
    </row>
    <row r="156" spans="1:27" ht="15.45" x14ac:dyDescent="0.4">
      <c r="A156" s="128"/>
      <c r="B156" s="128"/>
      <c r="C156" s="128"/>
      <c r="D156" s="128"/>
      <c r="E156" s="128"/>
      <c r="F156" s="128"/>
      <c r="G156" s="128"/>
      <c r="H156" s="128"/>
      <c r="I156" s="79"/>
      <c r="J156" s="6"/>
      <c r="K156" s="6"/>
      <c r="L156" s="6"/>
      <c r="AA156" s="7">
        <f ca="1">H82/D4</f>
        <v>15.55</v>
      </c>
    </row>
    <row r="157" spans="1:27" ht="15.45" x14ac:dyDescent="0.4">
      <c r="A157" s="128"/>
      <c r="B157" s="128"/>
      <c r="C157" s="128"/>
      <c r="D157" s="128"/>
      <c r="E157" s="128"/>
      <c r="F157" s="128"/>
      <c r="G157" s="128"/>
      <c r="H157" s="128"/>
      <c r="I157" s="6"/>
      <c r="J157" s="6"/>
      <c r="K157" s="6"/>
      <c r="L157" s="6"/>
      <c r="AA157" s="7">
        <f ca="1">IF(E82=0,D82*D4,IF(INDIRECT(K116)&gt;0,E82,D82*D4))</f>
        <v>15.55</v>
      </c>
    </row>
    <row r="158" spans="1:27" ht="15.45" x14ac:dyDescent="0.4">
      <c r="A158" s="128"/>
      <c r="B158" s="128"/>
      <c r="C158" s="128"/>
      <c r="D158" s="128"/>
      <c r="E158" s="128"/>
      <c r="F158" s="128"/>
      <c r="G158" s="128"/>
      <c r="H158" s="128"/>
      <c r="I158" s="6"/>
      <c r="J158" s="6"/>
      <c r="K158" s="6"/>
      <c r="L158" s="6"/>
      <c r="AA158" s="7">
        <f ca="1">IF(K117=0,0,HLOOKUP(A2,INDIRECT(K22),6, FALSE)*INDIRECT(K117)*0.01)</f>
        <v>0</v>
      </c>
    </row>
    <row r="159" spans="1:27" ht="15.45" x14ac:dyDescent="0.4">
      <c r="A159" s="128"/>
      <c r="B159" s="128"/>
      <c r="C159" s="128"/>
      <c r="D159" s="128"/>
      <c r="E159" s="128"/>
      <c r="F159" s="128"/>
      <c r="G159" s="128"/>
      <c r="H159" s="128"/>
      <c r="I159" s="6"/>
      <c r="J159" s="6"/>
      <c r="K159" s="6"/>
      <c r="L159" s="6"/>
      <c r="AA159" s="7">
        <f ca="1">H83/D4</f>
        <v>0</v>
      </c>
    </row>
    <row r="160" spans="1:27" ht="15.45" x14ac:dyDescent="0.4">
      <c r="A160" s="128"/>
      <c r="B160" s="128"/>
      <c r="C160" s="128"/>
      <c r="D160" s="128"/>
      <c r="E160" s="128"/>
      <c r="F160" s="128"/>
      <c r="G160" s="128"/>
      <c r="H160" s="128"/>
      <c r="I160" s="6"/>
      <c r="J160" s="6"/>
      <c r="K160" s="6"/>
      <c r="L160" s="6"/>
      <c r="AA160" s="7">
        <f ca="1">IF(E83=0,D83*D4,IF(INDIRECT(K117)&gt;0,E83,D83*D4))</f>
        <v>0</v>
      </c>
    </row>
    <row r="161" spans="1:27" ht="15.45" x14ac:dyDescent="0.4">
      <c r="A161" s="128"/>
      <c r="B161" s="128"/>
      <c r="C161" s="128"/>
      <c r="D161" s="128"/>
      <c r="E161" s="128"/>
      <c r="F161" s="128"/>
      <c r="G161" s="128"/>
      <c r="H161" s="128"/>
      <c r="I161" s="6"/>
      <c r="J161" s="6"/>
      <c r="K161" s="6"/>
      <c r="L161" s="6"/>
      <c r="AA161" s="7">
        <f ca="1">IF(K120=0,0,HLOOKUP(A2,INDIRECT(K22),7, FALSE)*INDIRECT(K120)*0.01)</f>
        <v>0</v>
      </c>
    </row>
    <row r="162" spans="1:27" ht="15.45" x14ac:dyDescent="0.4">
      <c r="A162" s="128"/>
      <c r="B162" s="128"/>
      <c r="C162" s="128"/>
      <c r="D162" s="128"/>
      <c r="E162" s="128"/>
      <c r="F162" s="128"/>
      <c r="G162" s="128"/>
      <c r="H162" s="128"/>
      <c r="I162" s="6"/>
      <c r="J162" s="6"/>
      <c r="K162" s="6"/>
      <c r="L162" s="6"/>
      <c r="AA162" s="7">
        <f ca="1">H85/D4</f>
        <v>9</v>
      </c>
    </row>
    <row r="163" spans="1:27" ht="15.45" x14ac:dyDescent="0.4">
      <c r="A163" s="128"/>
      <c r="B163" s="128"/>
      <c r="C163" s="128"/>
      <c r="D163" s="128"/>
      <c r="E163" s="128"/>
      <c r="F163" s="128"/>
      <c r="G163" s="128"/>
      <c r="H163" s="128"/>
      <c r="I163" s="6"/>
      <c r="J163" s="6"/>
      <c r="K163" s="6"/>
      <c r="L163" s="6"/>
      <c r="AA163" s="7">
        <f ca="1">IF(E85=0,J120,IF(INDIRECT(K120)&gt;0,E85,J120))</f>
        <v>9</v>
      </c>
    </row>
    <row r="164" spans="1:27" ht="15.45" x14ac:dyDescent="0.4">
      <c r="A164" s="128"/>
      <c r="B164" s="128"/>
      <c r="C164" s="128"/>
      <c r="D164" s="128"/>
      <c r="E164" s="128"/>
      <c r="F164" s="128"/>
      <c r="G164" s="128"/>
      <c r="H164" s="128"/>
      <c r="I164" s="6"/>
      <c r="J164" s="6"/>
      <c r="K164" s="6"/>
      <c r="L164" s="6"/>
      <c r="AA164" s="7">
        <f ca="1">H87/D4</f>
        <v>319.76090000000005</v>
      </c>
    </row>
    <row r="165" spans="1:27" ht="15.45" x14ac:dyDescent="0.4">
      <c r="A165" s="128"/>
      <c r="B165" s="128"/>
      <c r="C165" s="128"/>
      <c r="D165" s="128"/>
      <c r="E165" s="128"/>
      <c r="F165" s="128"/>
      <c r="G165" s="128"/>
      <c r="H165" s="128"/>
      <c r="I165" s="6"/>
      <c r="J165" s="6"/>
      <c r="K165" s="6"/>
      <c r="L165" s="6"/>
      <c r="AA165" s="8">
        <f ca="1">SUM(H58:H85)</f>
        <v>319.76090000000005</v>
      </c>
    </row>
    <row r="166" spans="1:27" ht="15.45" x14ac:dyDescent="0.4">
      <c r="A166" s="128"/>
      <c r="B166" s="128"/>
      <c r="C166" s="128"/>
      <c r="D166" s="128"/>
      <c r="E166" s="128"/>
      <c r="F166" s="128"/>
      <c r="G166" s="128"/>
      <c r="H166" s="128"/>
      <c r="I166" s="6"/>
      <c r="J166" s="6"/>
      <c r="K166" s="6"/>
      <c r="L166" s="6"/>
      <c r="AA166" s="7">
        <f ca="1">IF(K126=0,0,HLOOKUP(A2,INDIRECT(K22),9, FALSE)*INDIRECT(K126)*0.01)</f>
        <v>0</v>
      </c>
    </row>
    <row r="167" spans="1:27" ht="15.45" x14ac:dyDescent="0.4">
      <c r="A167" s="128"/>
      <c r="B167" s="128"/>
      <c r="C167" s="128"/>
      <c r="D167" s="128"/>
      <c r="E167" s="128"/>
      <c r="F167" s="128"/>
      <c r="G167" s="128"/>
      <c r="H167" s="128"/>
      <c r="I167" s="6"/>
      <c r="J167" s="6"/>
      <c r="K167" s="6"/>
      <c r="L167" s="6"/>
      <c r="AA167" s="7">
        <f ca="1">H90/D4</f>
        <v>42.75</v>
      </c>
    </row>
    <row r="168" spans="1:27" ht="15.45" x14ac:dyDescent="0.4">
      <c r="A168" s="128"/>
      <c r="B168" s="128"/>
      <c r="C168" s="128"/>
      <c r="D168" s="128"/>
      <c r="E168" s="128"/>
      <c r="F168" s="128"/>
      <c r="G168" s="128"/>
      <c r="H168" s="128"/>
      <c r="I168" s="6"/>
      <c r="J168" s="6"/>
      <c r="K168" s="6"/>
      <c r="L168" s="6"/>
      <c r="AA168" s="7">
        <f ca="1">IF(E90=0,D90*D4,IF(INDIRECT(K126)&gt;0,E90,D90*D4))</f>
        <v>42.75</v>
      </c>
    </row>
    <row r="169" spans="1:27" ht="15.45" x14ac:dyDescent="0.4">
      <c r="A169" s="128"/>
      <c r="B169" s="128"/>
      <c r="C169" s="128"/>
      <c r="D169" s="128"/>
      <c r="E169" s="128"/>
      <c r="F169" s="128"/>
      <c r="G169" s="128"/>
      <c r="H169" s="128"/>
      <c r="I169" s="6"/>
      <c r="J169" s="6"/>
      <c r="K169" s="6"/>
      <c r="L169" s="6"/>
      <c r="AA169" s="7">
        <f ca="1">IF(K127=0,0,HLOOKUP(A2,INDIRECT(K22),10, FALSE)*INDIRECT(K127)*0.01)</f>
        <v>0</v>
      </c>
    </row>
    <row r="170" spans="1:27" ht="15.45" x14ac:dyDescent="0.4">
      <c r="A170" s="128"/>
      <c r="B170" s="128"/>
      <c r="C170" s="128"/>
      <c r="D170" s="128"/>
      <c r="E170" s="128"/>
      <c r="F170" s="128"/>
      <c r="G170" s="128"/>
      <c r="H170" s="128"/>
      <c r="I170" s="6"/>
      <c r="J170" s="6"/>
      <c r="K170" s="6"/>
      <c r="L170" s="6"/>
      <c r="AA170" s="7">
        <f ca="1">H91/D4</f>
        <v>16.399999999999999</v>
      </c>
    </row>
    <row r="171" spans="1:27" ht="15.45" x14ac:dyDescent="0.4">
      <c r="A171" s="128"/>
      <c r="B171" s="128"/>
      <c r="C171" s="128"/>
      <c r="D171" s="128"/>
      <c r="E171" s="128"/>
      <c r="F171" s="128"/>
      <c r="G171" s="128"/>
      <c r="H171" s="128"/>
      <c r="I171" s="6"/>
      <c r="J171" s="6"/>
      <c r="K171" s="6"/>
      <c r="L171" s="6"/>
      <c r="AA171" s="7">
        <f ca="1">IF(E91=0,D91*D4,IF(INDIRECT(K127)&gt;0,E91,D91*D4))</f>
        <v>16.399999999999999</v>
      </c>
    </row>
    <row r="172" spans="1:27" ht="15.45" x14ac:dyDescent="0.4">
      <c r="A172" s="128"/>
      <c r="B172" s="128"/>
      <c r="C172" s="128"/>
      <c r="D172" s="128"/>
      <c r="E172" s="128"/>
      <c r="F172" s="128"/>
      <c r="G172" s="128"/>
      <c r="H172" s="128"/>
      <c r="I172" s="6"/>
      <c r="J172" s="6"/>
      <c r="K172" s="6"/>
      <c r="L172" s="6"/>
      <c r="AA172" s="7">
        <f>H92/D4</f>
        <v>0</v>
      </c>
    </row>
    <row r="173" spans="1:27" ht="15.45" x14ac:dyDescent="0.4">
      <c r="A173" s="128"/>
      <c r="B173" s="128"/>
      <c r="C173" s="128"/>
      <c r="D173" s="128"/>
      <c r="E173" s="128"/>
      <c r="F173" s="128"/>
      <c r="G173" s="128"/>
      <c r="H173" s="128"/>
      <c r="I173" s="6"/>
      <c r="J173" s="6"/>
      <c r="K173" s="6"/>
      <c r="L173" s="6"/>
      <c r="AA173" s="7">
        <f>D92*D4</f>
        <v>0</v>
      </c>
    </row>
    <row r="174" spans="1:27" ht="15.45" x14ac:dyDescent="0.4">
      <c r="A174" s="128"/>
      <c r="B174" s="128"/>
      <c r="C174" s="128"/>
      <c r="D174" s="128"/>
      <c r="E174" s="128"/>
      <c r="F174" s="128"/>
      <c r="G174" s="128"/>
      <c r="H174" s="128"/>
      <c r="I174" s="6"/>
      <c r="J174" s="6"/>
      <c r="K174" s="6"/>
      <c r="L174" s="6"/>
      <c r="AA174" s="7">
        <f ca="1">IF(K128=0,0,HLOOKUP(A2,INDIRECT(K22),11, FALSE)*INDIRECT(K128)*0.01)</f>
        <v>0</v>
      </c>
    </row>
    <row r="175" spans="1:27" ht="15.45" x14ac:dyDescent="0.4">
      <c r="A175" s="128"/>
      <c r="B175" s="128"/>
      <c r="C175" s="128"/>
      <c r="D175" s="128"/>
      <c r="E175" s="128"/>
      <c r="F175" s="128"/>
      <c r="G175" s="128"/>
      <c r="H175" s="128"/>
      <c r="I175" s="6"/>
      <c r="J175" s="6"/>
      <c r="K175" s="6"/>
      <c r="L175" s="6"/>
      <c r="AA175" s="7">
        <f ca="1">H93/D4</f>
        <v>0</v>
      </c>
    </row>
    <row r="176" spans="1:27" ht="15.45" x14ac:dyDescent="0.4">
      <c r="A176" s="128"/>
      <c r="B176" s="128"/>
      <c r="C176" s="128"/>
      <c r="D176" s="128"/>
      <c r="E176" s="128"/>
      <c r="F176" s="128"/>
      <c r="G176" s="128"/>
      <c r="H176" s="128"/>
      <c r="I176" s="6"/>
      <c r="J176" s="6"/>
      <c r="K176" s="6"/>
      <c r="L176" s="6"/>
      <c r="AA176" s="7">
        <f ca="1">IF(E93=0,D93*D4,IF(INDIRECT(K128)&gt;0,E93,D93*D4))</f>
        <v>0</v>
      </c>
    </row>
    <row r="177" spans="1:27" ht="15.45" x14ac:dyDescent="0.4">
      <c r="A177" s="128"/>
      <c r="B177" s="128"/>
      <c r="C177" s="128"/>
      <c r="D177" s="128"/>
      <c r="E177" s="128"/>
      <c r="F177" s="128"/>
      <c r="G177" s="128"/>
      <c r="H177" s="128"/>
      <c r="I177" s="6"/>
      <c r="J177" s="6"/>
      <c r="K177" s="6"/>
      <c r="L177" s="6"/>
      <c r="AA177" s="7">
        <f ca="1">IF(K129=0,0,HLOOKUP(A2,INDIRECT(K22),12, FALSE)*INDIRECT(K129)*0.01)</f>
        <v>0</v>
      </c>
    </row>
    <row r="178" spans="1:27" ht="15.45" x14ac:dyDescent="0.4">
      <c r="A178" s="128"/>
      <c r="B178" s="128"/>
      <c r="C178" s="128"/>
      <c r="D178" s="128"/>
      <c r="E178" s="128"/>
      <c r="F178" s="128"/>
      <c r="G178" s="128"/>
      <c r="H178" s="128"/>
      <c r="I178" s="6"/>
      <c r="J178" s="6"/>
      <c r="K178" s="6"/>
      <c r="L178" s="6"/>
      <c r="AA178" s="7">
        <f ca="1">H94/D4</f>
        <v>9.4499999999999993</v>
      </c>
    </row>
    <row r="179" spans="1:27" ht="15.9" x14ac:dyDescent="0.45">
      <c r="A179" s="131"/>
      <c r="B179" s="131"/>
      <c r="C179" s="131"/>
      <c r="D179" s="131"/>
      <c r="E179" s="131"/>
      <c r="F179" s="131"/>
      <c r="G179" s="131"/>
      <c r="H179" s="131"/>
      <c r="I179" s="6"/>
      <c r="J179" s="6"/>
      <c r="K179" s="6"/>
      <c r="L179" s="6"/>
      <c r="AA179" s="7">
        <f ca="1">IF(E94=0,D94*D4,IF(INDIRECT(K129)&gt;0,E94,D94*D4))</f>
        <v>9.4499999999999993</v>
      </c>
    </row>
    <row r="180" spans="1:27" ht="15.9" x14ac:dyDescent="0.45">
      <c r="A180" s="131"/>
      <c r="B180" s="131"/>
      <c r="C180" s="131"/>
      <c r="D180" s="131"/>
      <c r="E180" s="131"/>
      <c r="F180" s="131"/>
      <c r="G180" s="131"/>
      <c r="H180" s="131"/>
      <c r="I180" s="6"/>
      <c r="J180" s="6"/>
      <c r="K180" s="6"/>
      <c r="L180" s="6"/>
      <c r="AA180" s="7">
        <f ca="1">H96/D4</f>
        <v>68.599999999999994</v>
      </c>
    </row>
    <row r="181" spans="1:27" ht="15.9" x14ac:dyDescent="0.45">
      <c r="A181" s="131"/>
      <c r="B181" s="131"/>
      <c r="C181" s="131"/>
      <c r="D181" s="131"/>
      <c r="E181" s="131"/>
      <c r="F181" s="131"/>
      <c r="G181" s="131"/>
      <c r="H181" s="131"/>
      <c r="I181" s="6"/>
      <c r="J181" s="6"/>
      <c r="K181" s="6"/>
      <c r="L181" s="6"/>
      <c r="AA181" s="8">
        <f ca="1">SUM(H90:H94)</f>
        <v>68.599999999999994</v>
      </c>
    </row>
    <row r="182" spans="1:27" ht="15.9" x14ac:dyDescent="0.45">
      <c r="A182" s="131"/>
      <c r="B182" s="131"/>
      <c r="C182" s="131"/>
      <c r="D182" s="131"/>
      <c r="E182" s="131"/>
      <c r="F182" s="131"/>
      <c r="G182" s="131"/>
      <c r="H182" s="131"/>
      <c r="I182" s="6"/>
      <c r="J182" s="6"/>
      <c r="K182" s="6"/>
      <c r="L182" s="6"/>
      <c r="AA182" s="7">
        <f ca="1">ROUND(SUM(H60:H83)*C85*D85*0.0001,0)</f>
        <v>9</v>
      </c>
    </row>
    <row r="183" spans="1:27" ht="15.9" x14ac:dyDescent="0.45">
      <c r="A183" s="131"/>
      <c r="B183" s="131"/>
      <c r="C183" s="131"/>
      <c r="D183" s="131"/>
      <c r="E183" s="131"/>
      <c r="F183" s="131"/>
      <c r="G183" s="131"/>
      <c r="H183" s="131"/>
      <c r="I183" s="6"/>
      <c r="J183" s="6"/>
      <c r="K183" s="6"/>
      <c r="L183" s="6"/>
      <c r="AA183" s="7">
        <f>E7*E8</f>
        <v>720</v>
      </c>
    </row>
    <row r="184" spans="1:27" ht="15.9" x14ac:dyDescent="0.45">
      <c r="A184" s="131"/>
      <c r="B184" s="131"/>
      <c r="C184" s="131"/>
      <c r="D184" s="131"/>
      <c r="E184" s="131"/>
      <c r="F184" s="131"/>
      <c r="G184" s="131"/>
      <c r="H184" s="131"/>
      <c r="I184" s="6"/>
      <c r="J184" s="6"/>
      <c r="K184" s="6"/>
      <c r="L184" s="6"/>
      <c r="AA184" s="7">
        <f>E99*D4</f>
        <v>720</v>
      </c>
    </row>
    <row r="185" spans="1:27" ht="15.9" x14ac:dyDescent="0.45">
      <c r="A185" s="131"/>
      <c r="B185" s="131"/>
      <c r="C185" s="131"/>
      <c r="D185" s="131"/>
      <c r="E185" s="131"/>
      <c r="F185" s="131"/>
      <c r="G185" s="131"/>
      <c r="H185" s="131"/>
      <c r="I185" s="6"/>
      <c r="J185" s="6"/>
      <c r="K185" s="6"/>
      <c r="L185" s="6"/>
      <c r="AA185" s="7">
        <f>IF(E70=1,D18,0)</f>
        <v>0</v>
      </c>
    </row>
    <row r="186" spans="1:27" ht="15.9" x14ac:dyDescent="0.45">
      <c r="A186" s="131"/>
      <c r="B186" s="131"/>
      <c r="C186" s="131"/>
      <c r="D186" s="131"/>
      <c r="E186" s="131"/>
      <c r="F186" s="131"/>
      <c r="G186" s="131"/>
      <c r="H186" s="131"/>
      <c r="I186" s="6"/>
      <c r="J186" s="6"/>
      <c r="K186" s="6"/>
      <c r="L186" s="6"/>
      <c r="AA186" s="7">
        <f>E100*D4</f>
        <v>0</v>
      </c>
    </row>
    <row r="187" spans="1:27" ht="15.9" x14ac:dyDescent="0.45">
      <c r="A187" s="131"/>
      <c r="B187" s="131"/>
      <c r="C187" s="131"/>
      <c r="D187" s="131"/>
      <c r="E187" s="131"/>
      <c r="F187" s="131"/>
      <c r="G187" s="131"/>
      <c r="H187" s="131"/>
      <c r="I187" s="6"/>
      <c r="J187" s="6"/>
      <c r="K187" s="6"/>
      <c r="L187" s="6"/>
      <c r="AA187" s="7">
        <f ca="1">F101/D4</f>
        <v>319.76090000000005</v>
      </c>
    </row>
    <row r="188" spans="1:27" ht="15.9" x14ac:dyDescent="0.45">
      <c r="A188" s="131"/>
      <c r="B188" s="131"/>
      <c r="C188" s="131"/>
      <c r="D188" s="131"/>
      <c r="E188" s="131"/>
      <c r="F188" s="131"/>
      <c r="G188" s="131"/>
      <c r="H188" s="131"/>
      <c r="I188" s="6"/>
      <c r="J188" s="6"/>
      <c r="K188" s="6"/>
      <c r="L188" s="6"/>
      <c r="AA188" s="8">
        <f ca="1">H87</f>
        <v>319.76090000000005</v>
      </c>
    </row>
    <row r="189" spans="1:27" ht="15.9" x14ac:dyDescent="0.45">
      <c r="A189" s="131"/>
      <c r="B189" s="131"/>
      <c r="C189" s="131"/>
      <c r="D189" s="131"/>
      <c r="E189" s="131"/>
      <c r="F189" s="131"/>
      <c r="G189" s="131"/>
      <c r="H189" s="131"/>
      <c r="I189" s="6"/>
      <c r="J189" s="6"/>
      <c r="K189" s="6"/>
      <c r="L189" s="6"/>
      <c r="AA189" s="7">
        <f ca="1">F103/D4</f>
        <v>400.23909999999995</v>
      </c>
    </row>
    <row r="190" spans="1:27" ht="15.9" x14ac:dyDescent="0.45">
      <c r="A190" s="131"/>
      <c r="B190" s="131"/>
      <c r="C190" s="131"/>
      <c r="D190" s="131"/>
      <c r="E190" s="131"/>
      <c r="F190" s="131"/>
      <c r="G190" s="131"/>
      <c r="H190" s="131"/>
      <c r="I190" s="6"/>
      <c r="J190" s="6"/>
      <c r="K190" s="6"/>
      <c r="L190" s="6"/>
      <c r="AA190" s="8">
        <f ca="1">SUM(F99:F100)-F101</f>
        <v>400.23909999999995</v>
      </c>
    </row>
    <row r="191" spans="1:27" ht="15.9" x14ac:dyDescent="0.45">
      <c r="A191" s="131"/>
      <c r="B191" s="131"/>
      <c r="C191" s="131"/>
      <c r="D191" s="131"/>
      <c r="E191" s="131"/>
      <c r="F191" s="131"/>
      <c r="G191" s="131"/>
      <c r="H191" s="131"/>
      <c r="I191" s="6"/>
      <c r="J191" s="6"/>
      <c r="K191" s="6"/>
      <c r="L191" s="6"/>
      <c r="AA191" s="7">
        <f ca="1">F104/D4</f>
        <v>68.599999999999994</v>
      </c>
    </row>
    <row r="192" spans="1:27" ht="15.9" x14ac:dyDescent="0.45">
      <c r="A192" s="131"/>
      <c r="B192" s="131"/>
      <c r="C192" s="131"/>
      <c r="D192" s="131"/>
      <c r="E192" s="131"/>
      <c r="F192" s="131"/>
      <c r="G192" s="131"/>
      <c r="H192" s="131"/>
      <c r="I192" s="6"/>
      <c r="J192" s="6"/>
      <c r="K192" s="6"/>
      <c r="L192" s="6"/>
      <c r="AA192" s="8">
        <f ca="1">H96</f>
        <v>68.599999999999994</v>
      </c>
    </row>
    <row r="193" spans="1:27" ht="15.9" x14ac:dyDescent="0.45">
      <c r="A193" s="131"/>
      <c r="B193" s="131"/>
      <c r="C193" s="131"/>
      <c r="D193" s="131"/>
      <c r="E193" s="131"/>
      <c r="F193" s="131"/>
      <c r="G193" s="131"/>
      <c r="H193" s="131"/>
      <c r="I193" s="6"/>
      <c r="J193" s="6"/>
      <c r="K193" s="6"/>
      <c r="L193" s="6"/>
      <c r="AA193" s="8">
        <f ca="1">E103-E104</f>
        <v>331.63909999999998</v>
      </c>
    </row>
    <row r="194" spans="1:27" ht="15.9" x14ac:dyDescent="0.45">
      <c r="A194" s="131"/>
      <c r="B194" s="131"/>
      <c r="C194" s="131"/>
      <c r="D194" s="131"/>
      <c r="E194" s="131"/>
      <c r="F194" s="131"/>
      <c r="G194" s="131"/>
      <c r="H194" s="131"/>
      <c r="I194" s="6"/>
      <c r="J194" s="6"/>
      <c r="K194" s="6"/>
      <c r="L194" s="6"/>
      <c r="AA194" s="8">
        <f ca="1">F103-F104</f>
        <v>331.63909999999998</v>
      </c>
    </row>
    <row r="195" spans="1:27" ht="15.9" x14ac:dyDescent="0.45">
      <c r="A195" s="131"/>
      <c r="B195" s="131"/>
      <c r="C195" s="131"/>
      <c r="D195" s="131"/>
      <c r="E195" s="131"/>
      <c r="F195" s="131"/>
      <c r="G195" s="131"/>
      <c r="H195" s="131"/>
      <c r="I195" s="6"/>
      <c r="J195" s="6"/>
      <c r="K195" s="6"/>
      <c r="L195" s="6"/>
      <c r="AA195" s="7">
        <f ca="1">E101/E7</f>
        <v>79.940225000000012</v>
      </c>
    </row>
    <row r="196" spans="1:27" ht="15.9" x14ac:dyDescent="0.45">
      <c r="A196" s="131"/>
      <c r="B196" s="131"/>
      <c r="C196" s="131"/>
      <c r="D196" s="131"/>
      <c r="E196" s="131"/>
      <c r="F196" s="131"/>
      <c r="G196" s="131"/>
      <c r="H196" s="131"/>
      <c r="I196" s="6"/>
      <c r="J196" s="6"/>
      <c r="K196" s="6"/>
      <c r="L196" s="6"/>
      <c r="AA196" s="7">
        <f ca="1">E104/E7</f>
        <v>17.149999999999999</v>
      </c>
    </row>
    <row r="197" spans="1:27" ht="15.9" x14ac:dyDescent="0.45">
      <c r="A197" s="131"/>
      <c r="B197" s="131"/>
      <c r="C197" s="131"/>
      <c r="D197" s="131"/>
      <c r="E197" s="131"/>
      <c r="F197" s="131"/>
      <c r="G197" s="131"/>
      <c r="H197" s="131"/>
      <c r="I197" s="6"/>
      <c r="J197" s="6"/>
      <c r="K197" s="6"/>
      <c r="L197" s="6"/>
      <c r="AA197" s="120">
        <f ca="1">G108+G109</f>
        <v>97.090225000000004</v>
      </c>
    </row>
    <row r="198" spans="1:27" ht="15.9" x14ac:dyDescent="0.45">
      <c r="A198" s="131"/>
      <c r="B198" s="131"/>
      <c r="C198" s="131"/>
      <c r="D198" s="131"/>
      <c r="E198" s="131"/>
      <c r="F198" s="131"/>
      <c r="G198" s="131"/>
      <c r="H198" s="131"/>
      <c r="I198" s="6"/>
      <c r="J198" s="6"/>
      <c r="K198" s="6"/>
      <c r="L198" s="6"/>
      <c r="AA198" s="7">
        <f ca="1">IF(I146&gt;0,1-I154,I154)</f>
        <v>0.82300273420643</v>
      </c>
    </row>
    <row r="199" spans="1:27" ht="15.9" x14ac:dyDescent="0.45">
      <c r="A199" s="131"/>
      <c r="B199" s="131"/>
      <c r="C199" s="131"/>
      <c r="D199" s="131"/>
      <c r="E199" s="131"/>
      <c r="F199" s="131"/>
      <c r="G199" s="131"/>
      <c r="H199" s="131"/>
      <c r="I199" s="6"/>
      <c r="J199" s="6"/>
      <c r="K199" s="6"/>
      <c r="L199" s="6"/>
      <c r="AA199" s="7">
        <f ca="1">IF(I146-D114&gt;0,1-J154,J154)</f>
        <v>0.82300273420643</v>
      </c>
    </row>
    <row r="200" spans="1:27" ht="15.9" x14ac:dyDescent="0.45">
      <c r="A200" s="131"/>
      <c r="B200" s="131"/>
      <c r="C200" s="131"/>
      <c r="D200" s="131"/>
      <c r="E200" s="131"/>
      <c r="F200" s="131"/>
      <c r="G200" s="131"/>
      <c r="H200" s="131"/>
      <c r="I200" s="6"/>
      <c r="J200" s="6"/>
      <c r="K200" s="6"/>
      <c r="L200" s="6"/>
      <c r="AA200" s="7">
        <f>I149/E99</f>
        <v>0.49695251841152344</v>
      </c>
    </row>
    <row r="201" spans="1:27" ht="15.9" x14ac:dyDescent="0.45">
      <c r="A201" s="131"/>
      <c r="B201" s="131"/>
      <c r="C201" s="131"/>
      <c r="D201" s="131"/>
      <c r="E201" s="131"/>
      <c r="F201" s="131"/>
      <c r="G201" s="131"/>
      <c r="H201" s="131"/>
      <c r="I201" s="6"/>
      <c r="J201" s="6"/>
      <c r="K201" s="6"/>
      <c r="L201" s="6"/>
      <c r="AA201" s="7">
        <f ca="1">I146+0.97*I149</f>
        <v>678.71073885860801</v>
      </c>
    </row>
    <row r="202" spans="1:27" ht="15.9" x14ac:dyDescent="0.45">
      <c r="A202" s="131"/>
      <c r="B202" s="131"/>
      <c r="C202" s="131"/>
      <c r="D202" s="131"/>
      <c r="E202" s="131"/>
      <c r="F202" s="131"/>
      <c r="G202" s="131"/>
      <c r="H202" s="131"/>
      <c r="I202" s="131"/>
      <c r="J202" s="131"/>
      <c r="K202" s="131"/>
      <c r="AA202" s="7">
        <f ca="1">I146+0.43*I149</f>
        <v>485.49559970020766</v>
      </c>
    </row>
    <row r="203" spans="1:27" ht="15.9" x14ac:dyDescent="0.45">
      <c r="A203" s="131"/>
      <c r="B203" s="131"/>
      <c r="C203" s="131"/>
      <c r="D203" s="131"/>
      <c r="E203" s="131"/>
      <c r="F203" s="131"/>
      <c r="G203" s="131"/>
      <c r="H203" s="131"/>
      <c r="I203" s="131"/>
      <c r="J203" s="131"/>
      <c r="K203" s="131"/>
      <c r="AA203" s="132">
        <f ca="1">I146</f>
        <v>331.63909999999998</v>
      </c>
    </row>
    <row r="204" spans="1:27" ht="15.9" x14ac:dyDescent="0.45">
      <c r="A204" s="131"/>
      <c r="B204" s="131"/>
      <c r="C204" s="131"/>
      <c r="D204" s="131"/>
      <c r="E204" s="131"/>
      <c r="F204" s="131"/>
      <c r="G204" s="131"/>
      <c r="H204" s="131"/>
      <c r="I204" s="131"/>
      <c r="J204" s="131"/>
      <c r="K204" s="131"/>
      <c r="AA204" s="8">
        <f ca="1">E106</f>
        <v>331.63909999999998</v>
      </c>
    </row>
    <row r="205" spans="1:27" ht="15.9" x14ac:dyDescent="0.45">
      <c r="A205" s="131"/>
      <c r="B205" s="131"/>
      <c r="C205" s="131"/>
      <c r="D205" s="131"/>
      <c r="E205" s="131"/>
      <c r="F205" s="131"/>
      <c r="G205" s="131"/>
      <c r="H205" s="131"/>
      <c r="I205" s="131"/>
      <c r="J205" s="131"/>
      <c r="K205" s="131"/>
      <c r="AA205" s="7">
        <f ca="1">I146-0.43*I149</f>
        <v>177.78260029979234</v>
      </c>
    </row>
    <row r="206" spans="1:27" ht="15.9" x14ac:dyDescent="0.45">
      <c r="A206" s="131"/>
      <c r="B206" s="131"/>
      <c r="C206" s="131"/>
      <c r="D206" s="131"/>
      <c r="E206" s="131"/>
      <c r="F206" s="131"/>
      <c r="G206" s="131"/>
      <c r="H206" s="131"/>
      <c r="I206" s="131"/>
      <c r="J206" s="131"/>
      <c r="K206" s="131"/>
      <c r="AA206" s="7">
        <f>IF(E70=1,0.19465*E7+0.66805*((C7-G7)/2)-0.20342*D15,(C7-G7)/2)</f>
        <v>1</v>
      </c>
    </row>
    <row r="207" spans="1:27" ht="15.9" x14ac:dyDescent="0.45">
      <c r="A207" s="131"/>
      <c r="B207" s="131"/>
      <c r="C207" s="131"/>
      <c r="D207" s="131"/>
      <c r="E207" s="131"/>
      <c r="F207" s="131"/>
      <c r="G207" s="131"/>
      <c r="H207" s="131"/>
      <c r="I207" s="131"/>
      <c r="J207" s="131"/>
      <c r="K207" s="131"/>
      <c r="AA207" s="7">
        <f ca="1">I146-0.97*I149</f>
        <v>-15.432538858607984</v>
      </c>
    </row>
    <row r="208" spans="1:27" ht="15.9" x14ac:dyDescent="0.45">
      <c r="A208" s="131"/>
      <c r="B208" s="131"/>
      <c r="C208" s="131"/>
      <c r="D208" s="131"/>
      <c r="E208" s="131"/>
      <c r="F208" s="131"/>
      <c r="G208" s="131"/>
      <c r="H208" s="131"/>
      <c r="I208" s="131"/>
      <c r="J208" s="131"/>
      <c r="K208" s="131"/>
      <c r="AA208" s="7">
        <f>(C8-G8)/2</f>
        <v>75</v>
      </c>
    </row>
    <row r="209" spans="1:27" ht="15.9" x14ac:dyDescent="0.45">
      <c r="A209" s="131"/>
      <c r="B209" s="131"/>
      <c r="C209" s="131"/>
      <c r="D209" s="131"/>
      <c r="E209" s="131"/>
      <c r="F209" s="131"/>
      <c r="G209" s="131"/>
      <c r="H209" s="131"/>
      <c r="I209" s="131"/>
      <c r="J209" s="131"/>
      <c r="K209" s="131"/>
      <c r="AA209" s="7">
        <f>SQRT((E7*I148)^2+(E8*I147)^2+(I147*I148)^2)</f>
        <v>357.80581325629686</v>
      </c>
    </row>
    <row r="210" spans="1:27" ht="15.9" x14ac:dyDescent="0.45">
      <c r="A210" s="131"/>
      <c r="B210" s="131"/>
      <c r="C210" s="131"/>
      <c r="D210" s="131"/>
      <c r="E210" s="131"/>
      <c r="F210" s="131"/>
      <c r="G210" s="131"/>
      <c r="H210" s="131"/>
      <c r="I210" s="131"/>
      <c r="J210" s="131"/>
      <c r="K210" s="131"/>
      <c r="AA210" s="7">
        <f ca="1">ABS(I146/I149)</f>
        <v>0.92686895436896211</v>
      </c>
    </row>
    <row r="211" spans="1:27" ht="15.9" x14ac:dyDescent="0.45">
      <c r="A211" s="131"/>
      <c r="B211" s="131"/>
      <c r="C211" s="131"/>
      <c r="D211" s="131"/>
      <c r="E211" s="131"/>
      <c r="F211" s="131"/>
      <c r="G211" s="131"/>
      <c r="H211" s="131"/>
      <c r="I211" s="131"/>
      <c r="J211" s="131"/>
      <c r="K211" s="131"/>
      <c r="AA211" s="7">
        <f ca="1">ABS((I146-D114)/I149)</f>
        <v>0.92686895436896211</v>
      </c>
    </row>
    <row r="212" spans="1:27" ht="15.9" x14ac:dyDescent="0.45">
      <c r="A212" s="131"/>
      <c r="B212" s="131"/>
      <c r="C212" s="131"/>
      <c r="D212" s="131"/>
      <c r="E212" s="131"/>
      <c r="F212" s="131"/>
      <c r="G212" s="131"/>
      <c r="H212" s="131"/>
      <c r="I212" s="131"/>
      <c r="J212" s="131"/>
      <c r="K212" s="131"/>
      <c r="AA212" s="7">
        <f ca="1">1/(1+(0.2316419*I151))</f>
        <v>0.82324739631217825</v>
      </c>
    </row>
    <row r="213" spans="1:27" ht="15.9" x14ac:dyDescent="0.45">
      <c r="A213" s="131"/>
      <c r="B213" s="131"/>
      <c r="C213" s="131"/>
      <c r="D213" s="131"/>
      <c r="E213" s="131"/>
      <c r="F213" s="131"/>
      <c r="G213" s="131"/>
      <c r="H213" s="131"/>
      <c r="I213" s="131"/>
      <c r="J213" s="131"/>
      <c r="K213" s="131"/>
      <c r="AA213" s="7">
        <f ca="1">1/(1+(0.2316419*J151))</f>
        <v>0.82324739631217825</v>
      </c>
    </row>
    <row r="214" spans="1:27" ht="15.9" x14ac:dyDescent="0.45">
      <c r="A214" s="131"/>
      <c r="B214" s="131"/>
      <c r="C214" s="131"/>
      <c r="D214" s="131"/>
      <c r="E214" s="131"/>
      <c r="F214" s="131"/>
      <c r="G214" s="131"/>
      <c r="H214" s="131"/>
      <c r="I214" s="131"/>
      <c r="J214" s="131"/>
      <c r="K214" s="131"/>
      <c r="AA214" s="7">
        <f ca="1">0.398942281*EXP(I151^2/-2)</f>
        <v>0.25963420018130123</v>
      </c>
    </row>
    <row r="215" spans="1:27" ht="15.9" x14ac:dyDescent="0.45">
      <c r="A215" s="131"/>
      <c r="B215" s="131"/>
      <c r="C215" s="131"/>
      <c r="D215" s="131"/>
      <c r="E215" s="131"/>
      <c r="F215" s="131"/>
      <c r="G215" s="131"/>
      <c r="H215" s="131"/>
      <c r="I215" s="131"/>
      <c r="J215" s="131"/>
      <c r="K215" s="131"/>
      <c r="AA215" s="7">
        <f ca="1">0.398942281*EXP(J151^2/-2)</f>
        <v>0.25963420018130123</v>
      </c>
    </row>
    <row r="216" spans="1:27" ht="15.9" x14ac:dyDescent="0.45">
      <c r="A216" s="131"/>
      <c r="B216" s="131"/>
      <c r="C216" s="131"/>
      <c r="D216" s="131"/>
      <c r="E216" s="131"/>
      <c r="F216" s="131"/>
      <c r="G216" s="131"/>
      <c r="H216" s="131"/>
      <c r="I216" s="131"/>
      <c r="J216" s="131"/>
      <c r="K216" s="131"/>
      <c r="AA216" s="7">
        <f ca="1">I153*(0.31938153*I152-0.356563782*I152^2+1.781477937*I152^3-1.821255978*I152^4+1.330274429*I152^5)</f>
        <v>0.17699726579356997</v>
      </c>
    </row>
    <row r="217" spans="1:27" ht="15.9" x14ac:dyDescent="0.45">
      <c r="A217" s="131"/>
      <c r="B217" s="131"/>
      <c r="C217" s="131"/>
      <c r="D217" s="131"/>
      <c r="E217" s="131"/>
      <c r="F217" s="131"/>
      <c r="G217" s="131"/>
      <c r="H217" s="131"/>
      <c r="I217" s="131"/>
      <c r="J217" s="131"/>
      <c r="K217" s="131"/>
      <c r="AA217" s="7">
        <f ca="1">J153*(0.31938153*J152-0.356563782*J152^2+1.781477937*J152^3-1.821255978*J152^4+1.330274429*J152^5)</f>
        <v>0.17699726579356997</v>
      </c>
    </row>
    <row r="218" spans="1:27" ht="15.9" x14ac:dyDescent="0.45">
      <c r="A218" s="131"/>
      <c r="B218" s="131"/>
      <c r="C218" s="131"/>
      <c r="D218" s="131"/>
      <c r="E218" s="131"/>
      <c r="F218" s="131"/>
      <c r="G218" s="131"/>
      <c r="H218" s="131"/>
      <c r="I218" s="131"/>
      <c r="J218" s="131"/>
      <c r="K218" s="131"/>
    </row>
    <row r="219" spans="1:27" ht="15.9" x14ac:dyDescent="0.45">
      <c r="A219" s="131"/>
      <c r="B219" s="131"/>
      <c r="C219" s="131"/>
      <c r="D219" s="131"/>
      <c r="E219" s="131"/>
      <c r="F219" s="131"/>
      <c r="G219" s="131"/>
      <c r="H219" s="131"/>
      <c r="I219" s="131"/>
      <c r="J219" s="131"/>
      <c r="K219" s="131"/>
    </row>
    <row r="220" spans="1:27" ht="15.9" x14ac:dyDescent="0.45">
      <c r="A220" s="131"/>
      <c r="B220" s="131"/>
      <c r="C220" s="131"/>
      <c r="D220" s="131"/>
      <c r="E220" s="131"/>
      <c r="F220" s="131"/>
      <c r="G220" s="131"/>
      <c r="H220" s="131"/>
      <c r="I220" s="131"/>
      <c r="J220" s="131"/>
      <c r="K220" s="131"/>
    </row>
    <row r="221" spans="1:27" ht="15.9" x14ac:dyDescent="0.45">
      <c r="A221" s="131"/>
      <c r="B221" s="131"/>
      <c r="C221" s="131"/>
      <c r="D221" s="131"/>
      <c r="E221" s="131"/>
      <c r="F221" s="131"/>
      <c r="G221" s="131"/>
      <c r="H221" s="131"/>
      <c r="I221" s="131"/>
      <c r="J221" s="131"/>
      <c r="K221" s="131"/>
    </row>
    <row r="222" spans="1:27" ht="15.9" x14ac:dyDescent="0.45">
      <c r="A222" s="131"/>
      <c r="B222" s="131"/>
      <c r="C222" s="131"/>
      <c r="D222" s="131"/>
      <c r="E222" s="131"/>
      <c r="F222" s="131"/>
      <c r="G222" s="131"/>
      <c r="H222" s="131"/>
      <c r="I222" s="131"/>
      <c r="J222" s="131"/>
      <c r="K222" s="131"/>
    </row>
    <row r="223" spans="1:27" ht="15.9" x14ac:dyDescent="0.45">
      <c r="A223" s="131"/>
      <c r="B223" s="131"/>
      <c r="C223" s="131"/>
      <c r="D223" s="131"/>
      <c r="E223" s="131"/>
      <c r="F223" s="131"/>
      <c r="G223" s="131"/>
      <c r="H223" s="131"/>
      <c r="I223" s="131"/>
      <c r="J223" s="131"/>
      <c r="K223" s="131"/>
    </row>
    <row r="224" spans="1:27" ht="15.9" x14ac:dyDescent="0.45">
      <c r="A224" s="131"/>
      <c r="B224" s="131"/>
      <c r="C224" s="131"/>
      <c r="D224" s="131"/>
      <c r="E224" s="131"/>
      <c r="F224" s="131"/>
      <c r="G224" s="131"/>
      <c r="H224" s="131"/>
      <c r="I224" s="131"/>
      <c r="J224" s="131"/>
      <c r="K224" s="131"/>
    </row>
    <row r="225" spans="1:11" ht="15.9" x14ac:dyDescent="0.45">
      <c r="A225" s="131"/>
      <c r="B225" s="131"/>
      <c r="C225" s="131"/>
      <c r="D225" s="131"/>
      <c r="E225" s="131"/>
      <c r="F225" s="131"/>
      <c r="G225" s="131"/>
      <c r="H225" s="131"/>
      <c r="I225" s="131"/>
      <c r="J225" s="131"/>
      <c r="K225" s="131"/>
    </row>
    <row r="226" spans="1:11" ht="15.9" x14ac:dyDescent="0.45">
      <c r="A226" s="131"/>
      <c r="B226" s="131"/>
      <c r="C226" s="131"/>
      <c r="D226" s="131"/>
      <c r="E226" s="131"/>
      <c r="F226" s="131"/>
      <c r="G226" s="131"/>
      <c r="H226" s="131"/>
      <c r="I226" s="131"/>
      <c r="J226" s="131"/>
      <c r="K226" s="131"/>
    </row>
    <row r="227" spans="1:11" ht="15.9" x14ac:dyDescent="0.45">
      <c r="A227" s="131"/>
      <c r="B227" s="131"/>
      <c r="C227" s="131"/>
      <c r="D227" s="131"/>
      <c r="E227" s="131"/>
      <c r="F227" s="131"/>
      <c r="G227" s="131"/>
      <c r="H227" s="131"/>
      <c r="I227" s="131"/>
      <c r="J227" s="131"/>
      <c r="K227" s="131"/>
    </row>
    <row r="228" spans="1:11" ht="15.9" x14ac:dyDescent="0.45">
      <c r="A228" s="131"/>
      <c r="B228" s="131"/>
      <c r="C228" s="131"/>
      <c r="D228" s="131"/>
      <c r="E228" s="131"/>
      <c r="F228" s="131"/>
      <c r="G228" s="131"/>
      <c r="H228" s="131"/>
      <c r="I228" s="131"/>
      <c r="J228" s="131"/>
      <c r="K228" s="131"/>
    </row>
    <row r="229" spans="1:11" ht="15.9" x14ac:dyDescent="0.45">
      <c r="A229" s="131"/>
      <c r="B229" s="131"/>
      <c r="C229" s="131"/>
      <c r="D229" s="131"/>
      <c r="E229" s="131"/>
      <c r="F229" s="131"/>
      <c r="G229" s="131"/>
      <c r="H229" s="131"/>
      <c r="I229" s="131"/>
      <c r="J229" s="131"/>
      <c r="K229" s="131"/>
    </row>
    <row r="230" spans="1:11" ht="15.9" x14ac:dyDescent="0.45">
      <c r="A230" s="131"/>
      <c r="B230" s="131"/>
      <c r="C230" s="131"/>
      <c r="D230" s="131"/>
      <c r="E230" s="131"/>
      <c r="F230" s="131"/>
      <c r="G230" s="131"/>
      <c r="H230" s="131"/>
      <c r="I230" s="131"/>
      <c r="J230" s="131"/>
      <c r="K230" s="131"/>
    </row>
    <row r="231" spans="1:11" ht="15.9" x14ac:dyDescent="0.45">
      <c r="A231" s="131"/>
      <c r="B231" s="131"/>
      <c r="C231" s="131"/>
      <c r="D231" s="131"/>
      <c r="E231" s="131"/>
      <c r="F231" s="131"/>
      <c r="G231" s="131"/>
      <c r="H231" s="131"/>
      <c r="I231" s="131"/>
      <c r="J231" s="131"/>
      <c r="K231" s="131"/>
    </row>
    <row r="232" spans="1:11" ht="15.9" x14ac:dyDescent="0.45">
      <c r="A232" s="131"/>
      <c r="B232" s="131"/>
      <c r="C232" s="131"/>
      <c r="D232" s="131"/>
      <c r="E232" s="131"/>
      <c r="F232" s="131"/>
      <c r="G232" s="131"/>
      <c r="H232" s="131"/>
      <c r="I232" s="131"/>
      <c r="J232" s="131"/>
      <c r="K232" s="131"/>
    </row>
    <row r="233" spans="1:11" ht="15.9" x14ac:dyDescent="0.45">
      <c r="A233" s="131"/>
      <c r="B233" s="131"/>
      <c r="C233" s="131"/>
      <c r="D233" s="131"/>
      <c r="E233" s="131"/>
      <c r="F233" s="131"/>
      <c r="G233" s="131"/>
      <c r="H233" s="131"/>
      <c r="I233" s="131"/>
      <c r="J233" s="131"/>
      <c r="K233" s="131"/>
    </row>
    <row r="234" spans="1:11" ht="15.9" x14ac:dyDescent="0.45">
      <c r="A234" s="131"/>
      <c r="B234" s="131"/>
      <c r="C234" s="131"/>
      <c r="D234" s="131"/>
      <c r="E234" s="131"/>
      <c r="F234" s="131"/>
      <c r="G234" s="131"/>
      <c r="H234" s="131"/>
      <c r="I234" s="131"/>
      <c r="J234" s="131"/>
      <c r="K234" s="131"/>
    </row>
    <row r="235" spans="1:11" ht="15.9" x14ac:dyDescent="0.45">
      <c r="A235" s="131"/>
      <c r="B235" s="131"/>
      <c r="C235" s="131"/>
      <c r="D235" s="131"/>
      <c r="E235" s="131"/>
      <c r="F235" s="131"/>
      <c r="G235" s="131"/>
      <c r="H235" s="131"/>
      <c r="I235" s="131"/>
      <c r="J235" s="131"/>
      <c r="K235" s="131"/>
    </row>
    <row r="236" spans="1:11" ht="15.9" x14ac:dyDescent="0.45">
      <c r="A236" s="131"/>
      <c r="B236" s="131"/>
      <c r="C236" s="131"/>
      <c r="D236" s="131"/>
      <c r="E236" s="131"/>
      <c r="F236" s="131"/>
      <c r="G236" s="131"/>
      <c r="H236" s="131"/>
      <c r="I236" s="131"/>
      <c r="J236" s="131"/>
      <c r="K236" s="131"/>
    </row>
    <row r="237" spans="1:11" ht="15.9" x14ac:dyDescent="0.45">
      <c r="A237" s="131"/>
      <c r="B237" s="131"/>
      <c r="C237" s="131"/>
      <c r="D237" s="131"/>
      <c r="E237" s="131"/>
      <c r="F237" s="131"/>
      <c r="G237" s="131"/>
      <c r="H237" s="131"/>
      <c r="I237" s="131"/>
      <c r="J237" s="131"/>
      <c r="K237" s="131"/>
    </row>
    <row r="238" spans="1:11" ht="15.9" x14ac:dyDescent="0.45">
      <c r="A238" s="131"/>
      <c r="B238" s="131"/>
      <c r="C238" s="131"/>
      <c r="D238" s="131"/>
      <c r="E238" s="131"/>
      <c r="F238" s="131"/>
      <c r="G238" s="131"/>
      <c r="H238" s="131"/>
      <c r="I238" s="131"/>
      <c r="J238" s="131"/>
      <c r="K238" s="131"/>
    </row>
    <row r="239" spans="1:11" ht="15.9" x14ac:dyDescent="0.45">
      <c r="A239" s="131"/>
      <c r="B239" s="131"/>
      <c r="C239" s="131"/>
      <c r="D239" s="131"/>
      <c r="E239" s="131"/>
      <c r="F239" s="131"/>
      <c r="G239" s="131"/>
      <c r="H239" s="131"/>
      <c r="I239" s="131"/>
      <c r="J239" s="131"/>
      <c r="K239" s="131"/>
    </row>
    <row r="240" spans="1:11" ht="15.9" x14ac:dyDescent="0.45">
      <c r="A240" s="131"/>
      <c r="B240" s="131"/>
      <c r="C240" s="131"/>
      <c r="D240" s="131"/>
      <c r="E240" s="131"/>
      <c r="F240" s="131"/>
      <c r="G240" s="131"/>
      <c r="H240" s="131"/>
      <c r="I240" s="131"/>
      <c r="J240" s="131"/>
      <c r="K240" s="131"/>
    </row>
    <row r="241" spans="1:11" ht="15.9" x14ac:dyDescent="0.45">
      <c r="A241" s="131"/>
      <c r="B241" s="131"/>
      <c r="C241" s="131"/>
      <c r="D241" s="131"/>
      <c r="E241" s="131"/>
      <c r="F241" s="131"/>
      <c r="G241" s="131"/>
      <c r="H241" s="131"/>
      <c r="I241" s="131"/>
      <c r="J241" s="131"/>
      <c r="K241" s="131"/>
    </row>
    <row r="242" spans="1:11" ht="15.9" x14ac:dyDescent="0.45">
      <c r="A242" s="131"/>
      <c r="B242" s="131"/>
      <c r="C242" s="131"/>
      <c r="D242" s="131"/>
      <c r="E242" s="131"/>
      <c r="F242" s="131"/>
      <c r="G242" s="131"/>
      <c r="H242" s="131"/>
      <c r="I242" s="131"/>
      <c r="J242" s="131"/>
      <c r="K242" s="131"/>
    </row>
    <row r="243" spans="1:11" ht="15.9" x14ac:dyDescent="0.45">
      <c r="A243" s="131"/>
      <c r="B243" s="131"/>
      <c r="C243" s="131"/>
      <c r="D243" s="131"/>
      <c r="E243" s="131"/>
      <c r="F243" s="131"/>
      <c r="G243" s="131"/>
      <c r="H243" s="131"/>
      <c r="I243" s="131"/>
      <c r="J243" s="131"/>
      <c r="K243" s="131"/>
    </row>
    <row r="244" spans="1:11" ht="15.9" x14ac:dyDescent="0.45">
      <c r="A244" s="131"/>
      <c r="B244" s="131"/>
      <c r="C244" s="131"/>
      <c r="D244" s="131"/>
      <c r="E244" s="131"/>
      <c r="F244" s="131"/>
      <c r="G244" s="131"/>
      <c r="H244" s="131"/>
      <c r="I244" s="131"/>
      <c r="J244" s="131"/>
      <c r="K244" s="131"/>
    </row>
    <row r="245" spans="1:11" ht="15.9" x14ac:dyDescent="0.45">
      <c r="A245" s="131"/>
      <c r="B245" s="131"/>
      <c r="C245" s="131"/>
      <c r="D245" s="131"/>
      <c r="E245" s="131"/>
      <c r="F245" s="131"/>
      <c r="G245" s="131"/>
      <c r="H245" s="131"/>
      <c r="I245" s="131"/>
      <c r="J245" s="131"/>
      <c r="K245" s="131"/>
    </row>
    <row r="246" spans="1:11" ht="15.9" x14ac:dyDescent="0.45">
      <c r="A246" s="131"/>
      <c r="B246" s="131"/>
      <c r="C246" s="131"/>
      <c r="D246" s="131"/>
      <c r="E246" s="131"/>
      <c r="F246" s="131"/>
      <c r="G246" s="131"/>
      <c r="H246" s="131"/>
      <c r="I246" s="131"/>
      <c r="J246" s="131"/>
      <c r="K246" s="131"/>
    </row>
    <row r="247" spans="1:11" ht="15.9" x14ac:dyDescent="0.45">
      <c r="A247" s="131"/>
      <c r="B247" s="131"/>
      <c r="C247" s="131"/>
      <c r="D247" s="131"/>
      <c r="E247" s="131"/>
      <c r="F247" s="131"/>
      <c r="G247" s="131"/>
      <c r="H247" s="131"/>
      <c r="I247" s="131"/>
      <c r="J247" s="131"/>
      <c r="K247" s="131"/>
    </row>
    <row r="248" spans="1:11" ht="15.9" x14ac:dyDescent="0.45">
      <c r="A248" s="131"/>
      <c r="B248" s="131"/>
      <c r="C248" s="131"/>
      <c r="D248" s="131"/>
      <c r="E248" s="131"/>
      <c r="F248" s="131"/>
      <c r="G248" s="131"/>
      <c r="H248" s="131"/>
      <c r="I248" s="131"/>
      <c r="J248" s="131"/>
      <c r="K248" s="131"/>
    </row>
    <row r="249" spans="1:11" ht="15.9" x14ac:dyDescent="0.45">
      <c r="A249" s="131"/>
      <c r="B249" s="131"/>
      <c r="C249" s="131"/>
      <c r="D249" s="131"/>
      <c r="E249" s="131"/>
      <c r="F249" s="131"/>
      <c r="G249" s="131"/>
      <c r="H249" s="131"/>
      <c r="I249" s="131"/>
      <c r="J249" s="131"/>
      <c r="K249" s="131"/>
    </row>
    <row r="250" spans="1:11" ht="15.9" x14ac:dyDescent="0.45">
      <c r="A250" s="131"/>
      <c r="B250" s="131"/>
      <c r="C250" s="131"/>
      <c r="D250" s="131"/>
      <c r="E250" s="131"/>
      <c r="F250" s="131"/>
      <c r="G250" s="131"/>
      <c r="H250" s="131"/>
      <c r="I250" s="131"/>
      <c r="J250" s="131"/>
      <c r="K250" s="131"/>
    </row>
    <row r="251" spans="1:11" ht="15.9" x14ac:dyDescent="0.45">
      <c r="A251" s="131"/>
      <c r="B251" s="131"/>
      <c r="C251" s="131"/>
      <c r="D251" s="131"/>
      <c r="E251" s="131"/>
      <c r="F251" s="131"/>
      <c r="G251" s="131"/>
      <c r="H251" s="131"/>
      <c r="I251" s="131"/>
      <c r="J251" s="131"/>
      <c r="K251" s="131"/>
    </row>
    <row r="252" spans="1:11" ht="15.9" x14ac:dyDescent="0.45">
      <c r="A252" s="131"/>
      <c r="B252" s="131"/>
      <c r="C252" s="131"/>
      <c r="D252" s="131"/>
      <c r="E252" s="131"/>
      <c r="F252" s="131"/>
      <c r="G252" s="131"/>
      <c r="H252" s="131"/>
      <c r="I252" s="131"/>
      <c r="J252" s="131"/>
      <c r="K252" s="131"/>
    </row>
    <row r="253" spans="1:11" ht="15.9" x14ac:dyDescent="0.45">
      <c r="A253" s="131"/>
      <c r="B253" s="131"/>
      <c r="C253" s="131"/>
      <c r="D253" s="131"/>
      <c r="E253" s="131"/>
      <c r="F253" s="131"/>
      <c r="G253" s="131"/>
      <c r="H253" s="131"/>
      <c r="I253" s="131"/>
      <c r="J253" s="131"/>
      <c r="K253" s="131"/>
    </row>
    <row r="254" spans="1:11" ht="15.9" x14ac:dyDescent="0.45">
      <c r="A254" s="131"/>
      <c r="B254" s="131"/>
      <c r="C254" s="131"/>
      <c r="D254" s="131"/>
      <c r="E254" s="131"/>
      <c r="F254" s="131"/>
      <c r="G254" s="131"/>
      <c r="H254" s="131"/>
      <c r="I254" s="131"/>
      <c r="J254" s="131"/>
      <c r="K254" s="131"/>
    </row>
    <row r="255" spans="1:11" ht="15.9" x14ac:dyDescent="0.45">
      <c r="A255" s="131"/>
      <c r="B255" s="131"/>
      <c r="C255" s="131"/>
      <c r="D255" s="131"/>
      <c r="E255" s="131"/>
      <c r="F255" s="131"/>
      <c r="G255" s="131"/>
      <c r="H255" s="131"/>
      <c r="I255" s="131"/>
      <c r="J255" s="131"/>
      <c r="K255" s="131"/>
    </row>
    <row r="256" spans="1:11" ht="15.9" x14ac:dyDescent="0.45">
      <c r="A256" s="131"/>
      <c r="B256" s="131"/>
      <c r="C256" s="131"/>
      <c r="D256" s="131"/>
      <c r="E256" s="131"/>
      <c r="F256" s="131"/>
      <c r="G256" s="131"/>
      <c r="H256" s="131"/>
      <c r="I256" s="131"/>
      <c r="J256" s="131"/>
      <c r="K256" s="131"/>
    </row>
    <row r="257" spans="1:11" ht="15.9" x14ac:dyDescent="0.45">
      <c r="A257" s="131"/>
      <c r="B257" s="131"/>
      <c r="C257" s="131"/>
      <c r="D257" s="131"/>
      <c r="E257" s="131"/>
      <c r="F257" s="131"/>
      <c r="G257" s="131"/>
      <c r="H257" s="131"/>
      <c r="I257" s="131"/>
      <c r="J257" s="131"/>
      <c r="K257" s="131"/>
    </row>
    <row r="258" spans="1:11" ht="15.9" x14ac:dyDescent="0.45">
      <c r="A258" s="131"/>
      <c r="B258" s="131"/>
      <c r="C258" s="131"/>
      <c r="D258" s="131"/>
      <c r="E258" s="131"/>
      <c r="F258" s="131"/>
      <c r="G258" s="131"/>
      <c r="H258" s="131"/>
      <c r="I258" s="131"/>
      <c r="J258" s="131"/>
      <c r="K258" s="131"/>
    </row>
    <row r="259" spans="1:11" ht="15.9" x14ac:dyDescent="0.45">
      <c r="A259" s="131"/>
      <c r="B259" s="131"/>
      <c r="C259" s="131"/>
      <c r="D259" s="131"/>
      <c r="E259" s="131"/>
      <c r="F259" s="131"/>
      <c r="G259" s="131"/>
      <c r="H259" s="131"/>
      <c r="I259" s="131"/>
      <c r="J259" s="131"/>
      <c r="K259" s="131"/>
    </row>
    <row r="260" spans="1:11" ht="15.9" x14ac:dyDescent="0.45">
      <c r="A260" s="131"/>
      <c r="B260" s="131"/>
      <c r="C260" s="131"/>
      <c r="D260" s="131"/>
      <c r="E260" s="131"/>
      <c r="F260" s="131"/>
      <c r="G260" s="131"/>
      <c r="H260" s="131"/>
      <c r="I260" s="131"/>
      <c r="J260" s="131"/>
      <c r="K260" s="131"/>
    </row>
    <row r="261" spans="1:11" ht="15.9" x14ac:dyDescent="0.45">
      <c r="A261" s="131"/>
      <c r="B261" s="131"/>
      <c r="C261" s="131"/>
      <c r="D261" s="131"/>
      <c r="E261" s="131"/>
      <c r="F261" s="131"/>
      <c r="G261" s="131"/>
      <c r="H261" s="131"/>
      <c r="I261" s="131"/>
      <c r="J261" s="131"/>
      <c r="K261" s="131"/>
    </row>
    <row r="262" spans="1:11" ht="15.9" x14ac:dyDescent="0.45">
      <c r="A262" s="131"/>
      <c r="B262" s="131"/>
      <c r="C262" s="131"/>
      <c r="D262" s="131"/>
      <c r="E262" s="131"/>
      <c r="F262" s="131"/>
      <c r="G262" s="131"/>
      <c r="H262" s="131"/>
      <c r="I262" s="131"/>
      <c r="J262" s="131"/>
      <c r="K262" s="131"/>
    </row>
    <row r="263" spans="1:11" ht="15.9" x14ac:dyDescent="0.45">
      <c r="A263" s="131"/>
      <c r="B263" s="131"/>
      <c r="C263" s="131"/>
      <c r="D263" s="131"/>
      <c r="E263" s="131"/>
      <c r="F263" s="131"/>
      <c r="G263" s="131"/>
      <c r="H263" s="131"/>
      <c r="I263" s="131"/>
      <c r="J263" s="131"/>
      <c r="K263" s="131"/>
    </row>
    <row r="264" spans="1:11" ht="15.9" x14ac:dyDescent="0.45">
      <c r="A264" s="131"/>
      <c r="B264" s="131"/>
      <c r="C264" s="131"/>
      <c r="D264" s="131"/>
      <c r="E264" s="131"/>
      <c r="F264" s="131"/>
      <c r="G264" s="131"/>
      <c r="H264" s="131"/>
      <c r="I264" s="131"/>
      <c r="J264" s="131"/>
      <c r="K264" s="131"/>
    </row>
    <row r="265" spans="1:11" ht="15.9" x14ac:dyDescent="0.45">
      <c r="A265" s="131"/>
      <c r="B265" s="131"/>
      <c r="C265" s="131"/>
      <c r="D265" s="131"/>
      <c r="E265" s="131"/>
      <c r="F265" s="131"/>
      <c r="G265" s="131"/>
      <c r="H265" s="131"/>
      <c r="I265" s="131"/>
      <c r="J265" s="131"/>
      <c r="K265" s="131"/>
    </row>
    <row r="266" spans="1:11" ht="15.9" x14ac:dyDescent="0.45">
      <c r="A266" s="131"/>
      <c r="B266" s="131"/>
      <c r="C266" s="131"/>
      <c r="D266" s="131"/>
      <c r="E266" s="131"/>
      <c r="F266" s="131"/>
      <c r="G266" s="131"/>
      <c r="H266" s="131"/>
      <c r="I266" s="131"/>
      <c r="J266" s="131"/>
      <c r="K266" s="131"/>
    </row>
    <row r="267" spans="1:11" ht="15.9" x14ac:dyDescent="0.45">
      <c r="A267" s="131"/>
      <c r="B267" s="131"/>
      <c r="C267" s="131"/>
      <c r="D267" s="131"/>
      <c r="E267" s="131"/>
      <c r="F267" s="131"/>
      <c r="G267" s="131"/>
      <c r="H267" s="131"/>
      <c r="I267" s="131"/>
      <c r="J267" s="131"/>
      <c r="K267" s="131"/>
    </row>
    <row r="268" spans="1:11" ht="15.9" x14ac:dyDescent="0.45">
      <c r="A268" s="131"/>
      <c r="B268" s="131"/>
      <c r="C268" s="131"/>
      <c r="D268" s="131"/>
      <c r="E268" s="131"/>
      <c r="F268" s="131"/>
      <c r="G268" s="131"/>
      <c r="H268" s="131"/>
      <c r="I268" s="131"/>
      <c r="J268" s="131"/>
      <c r="K268" s="131"/>
    </row>
    <row r="269" spans="1:11" ht="15.9" x14ac:dyDescent="0.45">
      <c r="A269" s="131"/>
      <c r="B269" s="131"/>
      <c r="C269" s="131"/>
      <c r="D269" s="131"/>
      <c r="E269" s="131"/>
      <c r="F269" s="131"/>
      <c r="G269" s="131"/>
      <c r="H269" s="131"/>
      <c r="I269" s="131"/>
      <c r="J269" s="131"/>
      <c r="K269" s="131"/>
    </row>
    <row r="270" spans="1:11" ht="15.9" x14ac:dyDescent="0.45">
      <c r="A270" s="131"/>
      <c r="B270" s="131"/>
      <c r="C270" s="131"/>
      <c r="D270" s="131"/>
      <c r="E270" s="131"/>
      <c r="F270" s="131"/>
      <c r="G270" s="131"/>
      <c r="H270" s="131"/>
      <c r="I270" s="131"/>
      <c r="J270" s="131"/>
      <c r="K270" s="131"/>
    </row>
    <row r="271" spans="1:11" ht="15.9" x14ac:dyDescent="0.45">
      <c r="A271" s="131"/>
      <c r="B271" s="131"/>
      <c r="C271" s="131"/>
      <c r="D271" s="131"/>
      <c r="E271" s="131"/>
      <c r="F271" s="131"/>
      <c r="G271" s="131"/>
      <c r="H271" s="131"/>
      <c r="I271" s="131"/>
      <c r="J271" s="131"/>
      <c r="K271" s="131"/>
    </row>
    <row r="272" spans="1:11" ht="15.9" x14ac:dyDescent="0.45">
      <c r="A272" s="131"/>
      <c r="B272" s="131"/>
      <c r="C272" s="131"/>
      <c r="D272" s="131"/>
      <c r="E272" s="131"/>
      <c r="F272" s="131"/>
      <c r="G272" s="131"/>
      <c r="H272" s="131"/>
      <c r="I272" s="131"/>
      <c r="J272" s="131"/>
      <c r="K272" s="131"/>
    </row>
    <row r="273" spans="1:11" ht="15.9" x14ac:dyDescent="0.45">
      <c r="A273" s="131"/>
      <c r="B273" s="131"/>
      <c r="C273" s="131"/>
      <c r="D273" s="131"/>
      <c r="E273" s="131"/>
      <c r="F273" s="131"/>
      <c r="G273" s="131"/>
      <c r="H273" s="131"/>
      <c r="I273" s="131"/>
      <c r="J273" s="131"/>
      <c r="K273" s="131"/>
    </row>
    <row r="274" spans="1:11" ht="15.9" x14ac:dyDescent="0.45">
      <c r="A274" s="131"/>
      <c r="B274" s="131"/>
      <c r="C274" s="131"/>
      <c r="D274" s="131"/>
      <c r="E274" s="131"/>
      <c r="F274" s="131"/>
      <c r="G274" s="131"/>
      <c r="H274" s="131"/>
      <c r="I274" s="131"/>
      <c r="J274" s="131"/>
      <c r="K274" s="131"/>
    </row>
    <row r="275" spans="1:11" ht="15.9" x14ac:dyDescent="0.45">
      <c r="A275" s="131"/>
      <c r="B275" s="131"/>
      <c r="C275" s="131"/>
      <c r="D275" s="131"/>
      <c r="E275" s="131"/>
      <c r="F275" s="131"/>
      <c r="G275" s="131"/>
      <c r="H275" s="131"/>
      <c r="I275" s="131"/>
      <c r="J275" s="131"/>
      <c r="K275" s="131"/>
    </row>
    <row r="276" spans="1:11" ht="15.9" x14ac:dyDescent="0.45">
      <c r="A276" s="131"/>
      <c r="B276" s="131"/>
      <c r="C276" s="131"/>
      <c r="D276" s="131"/>
      <c r="E276" s="131"/>
      <c r="F276" s="131"/>
      <c r="G276" s="131"/>
      <c r="H276" s="131"/>
      <c r="I276" s="131"/>
      <c r="J276" s="131"/>
      <c r="K276" s="131"/>
    </row>
    <row r="277" spans="1:11" ht="15.9" x14ac:dyDescent="0.45">
      <c r="A277" s="131"/>
      <c r="B277" s="131"/>
      <c r="C277" s="131"/>
      <c r="D277" s="131"/>
      <c r="E277" s="131"/>
      <c r="F277" s="131"/>
      <c r="G277" s="131"/>
      <c r="H277" s="131"/>
      <c r="I277" s="131"/>
      <c r="J277" s="131"/>
      <c r="K277" s="131"/>
    </row>
    <row r="278" spans="1:11" ht="15.9" x14ac:dyDescent="0.45">
      <c r="A278" s="131"/>
      <c r="B278" s="131"/>
      <c r="C278" s="131"/>
      <c r="D278" s="131"/>
      <c r="E278" s="131"/>
      <c r="F278" s="131"/>
      <c r="G278" s="131"/>
      <c r="H278" s="131"/>
      <c r="I278" s="131"/>
      <c r="J278" s="131"/>
      <c r="K278" s="131"/>
    </row>
    <row r="279" spans="1:11" ht="15.9" x14ac:dyDescent="0.45">
      <c r="I279" s="131"/>
      <c r="J279" s="131"/>
      <c r="K279" s="131"/>
    </row>
    <row r="280" spans="1:11" ht="15.9" x14ac:dyDescent="0.45">
      <c r="I280" s="131"/>
      <c r="J280" s="131"/>
      <c r="K280" s="131"/>
    </row>
    <row r="281" spans="1:11" ht="15.9" x14ac:dyDescent="0.45">
      <c r="I281" s="131"/>
      <c r="J281" s="131"/>
      <c r="K281" s="131"/>
    </row>
    <row r="282" spans="1:11" ht="15.9" x14ac:dyDescent="0.45">
      <c r="I282" s="131"/>
      <c r="J282" s="131"/>
      <c r="K282" s="131"/>
    </row>
    <row r="283" spans="1:11" ht="15.9" x14ac:dyDescent="0.45">
      <c r="I283" s="131"/>
      <c r="J283" s="131"/>
      <c r="K283" s="131"/>
    </row>
    <row r="284" spans="1:11" ht="15.9" x14ac:dyDescent="0.45">
      <c r="I284" s="131"/>
      <c r="J284" s="131"/>
      <c r="K284" s="131"/>
    </row>
    <row r="285" spans="1:11" ht="15.9" x14ac:dyDescent="0.45">
      <c r="I285" s="131"/>
      <c r="J285" s="131"/>
      <c r="K285" s="131"/>
    </row>
    <row r="286" spans="1:11" ht="15.9" x14ac:dyDescent="0.45">
      <c r="I286" s="131"/>
      <c r="J286" s="131"/>
      <c r="K286" s="131"/>
    </row>
    <row r="287" spans="1:11" ht="15.9" x14ac:dyDescent="0.45">
      <c r="I287" s="131"/>
      <c r="J287" s="131"/>
      <c r="K287" s="131"/>
    </row>
    <row r="288" spans="1:11" ht="15.9" x14ac:dyDescent="0.45">
      <c r="I288" s="131"/>
      <c r="J288" s="131"/>
      <c r="K288" s="131"/>
    </row>
    <row r="289" spans="9:11" ht="15.9" x14ac:dyDescent="0.45">
      <c r="I289" s="131"/>
      <c r="J289" s="131"/>
      <c r="K289" s="131"/>
    </row>
    <row r="290" spans="9:11" ht="15.9" x14ac:dyDescent="0.45">
      <c r="I290" s="131"/>
      <c r="J290" s="131"/>
      <c r="K290" s="131"/>
    </row>
    <row r="291" spans="9:11" ht="15.9" x14ac:dyDescent="0.45">
      <c r="I291" s="131"/>
      <c r="J291" s="131"/>
      <c r="K291" s="131"/>
    </row>
    <row r="292" spans="9:11" ht="15.9" x14ac:dyDescent="0.45">
      <c r="I292" s="131"/>
      <c r="J292" s="131"/>
      <c r="K292" s="131"/>
    </row>
    <row r="293" spans="9:11" ht="15.9" x14ac:dyDescent="0.45">
      <c r="I293" s="131"/>
      <c r="J293" s="131"/>
      <c r="K293" s="131"/>
    </row>
    <row r="294" spans="9:11" ht="15.9" x14ac:dyDescent="0.45">
      <c r="I294" s="131"/>
      <c r="J294" s="131"/>
      <c r="K294" s="131"/>
    </row>
    <row r="295" spans="9:11" ht="15.9" x14ac:dyDescent="0.45">
      <c r="I295" s="131"/>
      <c r="J295" s="131"/>
      <c r="K295" s="131"/>
    </row>
    <row r="296" spans="9:11" ht="15.9" x14ac:dyDescent="0.45">
      <c r="I296" s="131"/>
      <c r="J296" s="131"/>
      <c r="K296" s="131"/>
    </row>
    <row r="297" spans="9:11" ht="15.9" x14ac:dyDescent="0.45">
      <c r="I297" s="131"/>
      <c r="J297" s="131"/>
      <c r="K297" s="131"/>
    </row>
    <row r="298" spans="9:11" ht="15.9" x14ac:dyDescent="0.45">
      <c r="I298" s="131"/>
      <c r="J298" s="131"/>
      <c r="K298" s="131"/>
    </row>
    <row r="299" spans="9:11" ht="15.9" x14ac:dyDescent="0.45">
      <c r="I299" s="131"/>
      <c r="J299" s="131"/>
      <c r="K299" s="131"/>
    </row>
    <row r="300" spans="9:11" ht="15.9" x14ac:dyDescent="0.45">
      <c r="I300" s="131"/>
      <c r="J300" s="131"/>
      <c r="K300" s="131"/>
    </row>
    <row r="301" spans="9:11" ht="15.9" x14ac:dyDescent="0.45">
      <c r="I301" s="131"/>
      <c r="J301" s="131"/>
      <c r="K301" s="131"/>
    </row>
  </sheetData>
  <sheetProtection algorithmName="SHA-512" hashValue="3vT8WriNNbNIp2J6k9+9bcujOR1nfSCft8b+Ib/8RlsPrS8EHFKl+C1oxpJsFFAb1icQBqZRmeXxSfR5RDe1uQ==" saltValue="lyt355nnBle86yuW+AEo3g==" spinCount="100000" sheet="1" objects="1" scenarios="1"/>
  <phoneticPr fontId="5" type="noConversion"/>
  <conditionalFormatting sqref="H11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33" r:id="rId1" xr:uid="{00000000-0004-0000-0000-000000000000}"/>
  </hyperlinks>
  <pageMargins left="0.75" right="0.75" top="1" bottom="1" header="0.5" footer="0.5"/>
  <pageSetup scale="73" orientation="portrait" r:id="rId2"/>
  <headerFooter alignWithMargins="0">
    <oddHeader xml:space="preserve">&amp;L                                                                        </oddHeader>
    <oddFooter>&amp;CPage -&amp;P-&amp;R</oddFooter>
  </headerFooter>
  <rowBreaks count="2" manualBreakCount="2">
    <brk id="54" max="7" man="1"/>
    <brk id="9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89F9D8D-52A8-47B2-9BF7-DACDEAE541AD}"/>
</file>

<file path=customXml/itemProps2.xml><?xml version="1.0" encoding="utf-8"?>
<ds:datastoreItem xmlns:ds="http://schemas.openxmlformats.org/officeDocument/2006/customXml" ds:itemID="{44A3B0E8-9E9D-4E94-AD65-F5FA40906A66}"/>
</file>

<file path=customXml/itemProps3.xml><?xml version="1.0" encoding="utf-8"?>
<ds:datastoreItem xmlns:ds="http://schemas.openxmlformats.org/officeDocument/2006/customXml" ds:itemID="{BF15FFA6-8580-48C7-B367-6EE798922548}"/>
</file>

<file path=customXml/itemProps4.xml><?xml version="1.0" encoding="utf-8"?>
<ds:datastoreItem xmlns:ds="http://schemas.openxmlformats.org/officeDocument/2006/customXml" ds:itemID="{CE79C031-DFA9-41B1-8D94-84050C079333}"/>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SWITCHGRASS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(OMAFA)</cp:lastModifiedBy>
  <cp:lastPrinted>2005-01-11T14:47:09Z</cp:lastPrinted>
  <dcterms:created xsi:type="dcterms:W3CDTF">2000-03-02T00:52:22Z</dcterms:created>
  <dcterms:modified xsi:type="dcterms:W3CDTF">2024-12-11T21:08:08Z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2020-04-09T18:55:18.7917745Z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93fddcd1-bb7d-451b-abf4-d6dfa348f83a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