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76" documentId="13_ncr:1_{83D4673E-7A47-4CEB-AC60-E4B514C4C2F4}" xr6:coauthVersionLast="47" xr6:coauthVersionMax="47" xr10:uidLastSave="{156F58D9-C607-44F7-8C5F-2B058210FFF9}"/>
  <bookViews>
    <workbookView xWindow="-103" yWindow="-103" windowWidth="22149" windowHeight="11949" xr2:uid="{00000000-000D-0000-FFFF-FFFF00000000}"/>
  </bookViews>
  <sheets>
    <sheet name="BARLEY" sheetId="1" r:id="rId1"/>
  </sheets>
  <definedNames>
    <definedName name="_Key1" localSheetId="0" hidden="1">BARLEY!$HW$39:$HW$42</definedName>
    <definedName name="_Key1" hidden="1">#REF!</definedName>
    <definedName name="_Order1" hidden="1">255</definedName>
    <definedName name="_Parse_In" localSheetId="0" hidden="1">BARLEY!$H$120:$H$121</definedName>
    <definedName name="_Parse_In" hidden="1">#REF!</definedName>
    <definedName name="_Parse_Out" localSheetId="0" hidden="1">BARLEY!$H$123</definedName>
    <definedName name="_Parse_Out" hidden="1">#REF!</definedName>
    <definedName name="_Regression_Int" localSheetId="0" hidden="1">1</definedName>
    <definedName name="_Sort" localSheetId="0" hidden="1">BARLEY!$HV$39:$IB$42</definedName>
    <definedName name="_Sort" hidden="1">#REF!</definedName>
    <definedName name="_Table2_In1" localSheetId="0" hidden="1">BARLEY!$BA$49</definedName>
    <definedName name="_Table2_In1" hidden="1">#REF!</definedName>
    <definedName name="_Table2_In2" localSheetId="0" hidden="1">BARLEY!$BA$50</definedName>
    <definedName name="_Table2_In2" hidden="1">#REF!</definedName>
    <definedName name="_Table2_Out" localSheetId="0" hidden="1">BARLEY!$BB$15:$BJ$47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1" i="1" l="1"/>
  <c r="E44" i="1" s="1"/>
  <c r="AA119" i="1" l="1"/>
  <c r="E78" i="1" s="1"/>
  <c r="AA121" i="1" s="1"/>
  <c r="H78" i="1" s="1"/>
  <c r="AA120" i="1" s="1"/>
  <c r="G78" i="1" s="1"/>
  <c r="AA111" i="1"/>
  <c r="E75" i="1" s="1"/>
  <c r="AA113" i="1" s="1"/>
  <c r="H75" i="1" s="1"/>
  <c r="AA112" i="1" s="1"/>
  <c r="G75" i="1" s="1"/>
  <c r="AA108" i="1"/>
  <c r="E74" i="1" s="1"/>
  <c r="AA110" i="1" s="1"/>
  <c r="H74" i="1" s="1"/>
  <c r="AA109" i="1" s="1"/>
  <c r="G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143" i="1"/>
  <c r="I101" i="1" s="1"/>
  <c r="AA124" i="1"/>
  <c r="E84" i="1" s="1"/>
  <c r="AA125" i="1" s="1"/>
  <c r="F84" i="1" s="1"/>
  <c r="AA13" i="1" s="1"/>
  <c r="K18" i="1" s="1"/>
  <c r="AA58" i="1"/>
  <c r="F44" i="1" s="1"/>
  <c r="AA59" i="1" s="1"/>
  <c r="G44" i="1" s="1"/>
  <c r="AA60" i="1" s="1"/>
  <c r="H44" i="1" s="1"/>
  <c r="AA44" i="1" s="1"/>
  <c r="K34" i="1" s="1"/>
  <c r="AA32" i="1"/>
  <c r="G30" i="1" s="1"/>
  <c r="AA33" i="1" s="1"/>
  <c r="H30" i="1" s="1"/>
  <c r="AA34" i="1"/>
  <c r="G31" i="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63" i="1"/>
  <c r="G45" i="1" s="1"/>
  <c r="AA64" i="1" s="1"/>
  <c r="H45" i="1" s="1"/>
  <c r="AA65" i="1"/>
  <c r="G46" i="1" s="1"/>
  <c r="AA66" i="1" s="1"/>
  <c r="H46" i="1" s="1"/>
  <c r="AA67" i="1"/>
  <c r="G47" i="1" s="1"/>
  <c r="AA68" i="1" s="1"/>
  <c r="H47" i="1" s="1"/>
  <c r="AA69" i="1"/>
  <c r="E48" i="1" s="1"/>
  <c r="AA70" i="1" s="1"/>
  <c r="G48" i="1" s="1"/>
  <c r="AA71" i="1" s="1"/>
  <c r="H48" i="1" s="1"/>
  <c r="AA72" i="1"/>
  <c r="G49" i="1" s="1"/>
  <c r="AA73" i="1" s="1"/>
  <c r="H49" i="1" s="1"/>
  <c r="AA85" i="1"/>
  <c r="G55" i="1" s="1"/>
  <c r="AA86" i="1" s="1"/>
  <c r="H55" i="1" s="1"/>
  <c r="AA38" i="1"/>
  <c r="K32" i="1" s="1"/>
  <c r="AA22" i="1" s="1"/>
  <c r="D23" i="1" s="1"/>
  <c r="AA83" i="1"/>
  <c r="G54" i="1" s="1"/>
  <c r="AA84" i="1" s="1"/>
  <c r="H54" i="1" s="1"/>
  <c r="AA114" i="1"/>
  <c r="G76" i="1" s="1"/>
  <c r="AA115" i="1" s="1"/>
  <c r="H76" i="1" s="1"/>
  <c r="AA74" i="1"/>
  <c r="E52" i="1" s="1"/>
  <c r="AA78" i="1" s="1"/>
  <c r="G52" i="1" s="1"/>
  <c r="AA79" i="1" s="1"/>
  <c r="H52" i="1" s="1"/>
  <c r="AA30" i="1" s="1"/>
  <c r="K28" i="1" s="1"/>
  <c r="AA116" i="1"/>
  <c r="E77" i="1" s="1"/>
  <c r="AA118" i="1" s="1"/>
  <c r="H77" i="1" s="1"/>
  <c r="AA117" i="1" s="1"/>
  <c r="G77" i="1" s="1"/>
  <c r="AA80" i="1"/>
  <c r="AA81" i="1" s="1"/>
  <c r="G53" i="1" s="1"/>
  <c r="AA82" i="1" s="1"/>
  <c r="H53" i="1" s="1"/>
  <c r="E50" i="1"/>
  <c r="AA75" i="1" s="1"/>
  <c r="G50" i="1" s="1"/>
  <c r="AA76" i="1" s="1"/>
  <c r="H50" i="1" s="1"/>
  <c r="AA18" i="1"/>
  <c r="H21" i="1" s="1"/>
  <c r="AA127" i="1"/>
  <c r="AA142" i="1"/>
  <c r="I100" i="1" s="1"/>
  <c r="AA140" i="1"/>
  <c r="I98" i="1" s="1"/>
  <c r="AA139" i="1"/>
  <c r="I97" i="1" s="1"/>
  <c r="AA24" i="1"/>
  <c r="K23" i="1" s="1"/>
  <c r="AA19" i="1"/>
  <c r="K21" i="1" s="1"/>
  <c r="AA16" i="1"/>
  <c r="K20" i="1" s="1"/>
  <c r="AA10" i="1"/>
  <c r="K15" i="1" s="1"/>
  <c r="AA9" i="1"/>
  <c r="G15" i="1" s="1"/>
  <c r="AA8" i="1"/>
  <c r="E15" i="1"/>
  <c r="AA7" i="1"/>
  <c r="C15" i="1" s="1"/>
  <c r="AA5" i="1"/>
  <c r="G14" i="1" s="1"/>
  <c r="AA4" i="1"/>
  <c r="E14" i="1" s="1"/>
  <c r="AA3" i="1"/>
  <c r="C14" i="1" s="1"/>
  <c r="AA77" i="1" l="1"/>
  <c r="AA31" i="1"/>
  <c r="K29" i="1" s="1"/>
  <c r="AA45" i="1"/>
  <c r="K35" i="1" s="1"/>
  <c r="AA145" i="1"/>
  <c r="I102" i="1" s="1"/>
  <c r="AA123" i="1"/>
  <c r="H80" i="1" s="1"/>
  <c r="AA41" i="1"/>
  <c r="K33" i="1" s="1"/>
  <c r="AA25" i="1" s="1"/>
  <c r="H24" i="1" s="1"/>
  <c r="AA29" i="1"/>
  <c r="K27" i="1" s="1"/>
  <c r="AA27" i="1"/>
  <c r="K25" i="1" s="1"/>
  <c r="AA105" i="1"/>
  <c r="J66" i="1" s="1"/>
  <c r="AA104" i="1" s="1"/>
  <c r="H67" i="1" s="1"/>
  <c r="AA103" i="1" s="1"/>
  <c r="G67" i="1" s="1"/>
  <c r="AA26" i="1"/>
  <c r="K24" i="1" s="1"/>
  <c r="AA17" i="1"/>
  <c r="D21" i="1" s="1"/>
  <c r="AA20" i="1"/>
  <c r="D22" i="1" s="1"/>
  <c r="AA28" i="1"/>
  <c r="K26" i="1" s="1"/>
  <c r="AA14" i="1" l="1"/>
  <c r="D19" i="1" s="1"/>
  <c r="AA62" i="1" s="1"/>
  <c r="AA6" i="1"/>
  <c r="K14" i="1" s="1"/>
  <c r="AA15" i="1"/>
  <c r="K19" i="1" s="1"/>
  <c r="AA147" i="1"/>
  <c r="G107" i="1" s="1"/>
  <c r="H107" i="1" s="1"/>
  <c r="AA107" i="1"/>
  <c r="H69" i="1" s="1"/>
  <c r="AA12" i="1"/>
  <c r="K17" i="1" s="1"/>
  <c r="AA133" i="1"/>
  <c r="F89" i="1" s="1"/>
  <c r="AA132" i="1" s="1"/>
  <c r="E89" i="1" s="1"/>
  <c r="AA137" i="1" s="1"/>
  <c r="G94" i="1" s="1"/>
  <c r="AA122" i="1"/>
  <c r="G80" i="1" s="1"/>
  <c r="AA23" i="1"/>
  <c r="H23" i="1" s="1"/>
  <c r="AA126" i="1" s="1"/>
  <c r="AA21" i="1"/>
  <c r="H22" i="1" s="1"/>
  <c r="AA129" i="1" l="1"/>
  <c r="F86" i="1" s="1"/>
  <c r="AA11" i="1"/>
  <c r="K16" i="1" s="1"/>
  <c r="AA106" i="1"/>
  <c r="G69" i="1" s="1"/>
  <c r="AA131" i="1" l="1"/>
  <c r="F88" i="1" s="1"/>
  <c r="AA128" i="1"/>
  <c r="E86" i="1" s="1"/>
  <c r="AA136" i="1" s="1"/>
  <c r="G93" i="1" s="1"/>
  <c r="AA138" i="1" s="1"/>
  <c r="G96" i="1" s="1"/>
  <c r="AA130" i="1" l="1"/>
  <c r="E88" i="1" s="1"/>
  <c r="AA134" i="1" s="1"/>
  <c r="E91" i="1" s="1"/>
  <c r="AA135" i="1"/>
  <c r="F91" i="1" s="1"/>
  <c r="AA2" i="1" l="1"/>
  <c r="H3" i="1" s="1"/>
  <c r="AA141" i="1"/>
  <c r="I99" i="1" s="1"/>
  <c r="AA158" i="1" l="1"/>
  <c r="C114" i="1" s="1"/>
  <c r="AA157" i="1"/>
  <c r="C113" i="1" s="1"/>
  <c r="AA160" i="1"/>
  <c r="C116" i="1" s="1"/>
  <c r="AA156" i="1"/>
  <c r="C112" i="1" s="1"/>
  <c r="AA159" i="1"/>
  <c r="C115" i="1" s="1"/>
  <c r="AA150" i="1"/>
  <c r="J105" i="1" s="1"/>
  <c r="AA148" i="1"/>
  <c r="I104" i="1" s="1"/>
  <c r="AA154" i="1" l="1"/>
  <c r="J107" i="1" s="1"/>
  <c r="AA152" i="1"/>
  <c r="J106" i="1" s="1"/>
  <c r="AA151" i="1"/>
  <c r="I106" i="1" s="1"/>
  <c r="AA149" i="1"/>
  <c r="I105" i="1" s="1"/>
  <c r="AA153" i="1" l="1"/>
  <c r="I107" i="1" s="1"/>
  <c r="AA144" i="1" s="1"/>
  <c r="G104" i="1" s="1"/>
  <c r="AA155" i="1"/>
  <c r="J108" i="1" s="1"/>
  <c r="AA146" i="1" s="1"/>
  <c r="G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4"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8"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7"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text>
    </comment>
  </commentList>
</comments>
</file>

<file path=xl/sharedStrings.xml><?xml version="1.0" encoding="utf-8"?>
<sst xmlns="http://schemas.openxmlformats.org/spreadsheetml/2006/main" count="206" uniqueCount="158">
  <si>
    <t>Number of Acres =</t>
  </si>
  <si>
    <t xml:space="preserve">    1 t =</t>
  </si>
  <si>
    <t>bu</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</si>
  <si>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</si>
  <si>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</si>
  <si>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</si>
  <si>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</si>
  <si>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</si>
  <si>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</si>
  <si>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</si>
  <si>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</si>
  <si>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</si>
  <si>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</si>
  <si>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</si>
  <si>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</si>
  <si>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</si>
  <si>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</si>
  <si>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</si>
  <si>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</si>
  <si>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</si>
  <si>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</si>
  <si>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</si>
  <si>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</si>
  <si>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</si>
  <si>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</si>
  <si>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</si>
  <si>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</si>
  <si>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</si>
  <si>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</si>
  <si>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</si>
  <si>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</si>
  <si>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</si>
  <si>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</si>
  <si>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</si>
  <si>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</si>
  <si>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</si>
  <si>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</si>
  <si>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</si>
  <si>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</si>
  <si>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</si>
  <si>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</si>
  <si>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</si>
  <si>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</si>
  <si>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</si>
  <si>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</si>
  <si>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</si>
  <si>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</si>
  <si>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</si>
  <si>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</si>
  <si>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</si>
  <si>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</si>
  <si>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</si>
  <si>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</si>
  <si>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</si>
  <si>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</si>
  <si>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</si>
  <si>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</si>
  <si>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</si>
  <si>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</si>
  <si>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</si>
  <si>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</si>
  <si>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</si>
  <si>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</si>
  <si>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</si>
  <si>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</si>
  <si>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</si>
  <si>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</si>
  <si>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</si>
  <si>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</si>
  <si>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</si>
  <si>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</si>
  <si>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</si>
  <si>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</si>
  <si>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</si>
  <si>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</si>
  <si>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</si>
  <si>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</si>
  <si>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</si>
  <si>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</si>
  <si>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</si>
  <si>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</si>
  <si>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</si>
  <si>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</si>
  <si>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</si>
  <si>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</si>
  <si>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</si>
  <si>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</si>
  <si>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</si>
  <si>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</si>
  <si>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</si>
  <si>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</si>
  <si>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</si>
  <si>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</si>
  <si>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</si>
  <si>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</si>
  <si>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</si>
  <si>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</si>
  <si>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</si>
  <si>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</si>
  <si>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</si>
  <si>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</si>
  <si>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</si>
  <si>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</si>
  <si>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</si>
  <si>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</si>
  <si>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</si>
  <si>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</si>
  <si>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</si>
  <si>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</si>
  <si>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</si>
  <si>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</si>
  <si>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</si>
  <si>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</si>
  <si>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</si>
  <si>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</si>
  <si>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</si>
  <si>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</si>
  <si>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</si>
  <si>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</si>
  <si>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</si>
  <si>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</si>
  <si>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Barley</t>
  </si>
  <si>
    <t>Return Per Acre</t>
  </si>
  <si>
    <t xml:space="preserve"> Labour</t>
  </si>
  <si>
    <t>no</t>
  </si>
  <si>
    <t>times</t>
  </si>
  <si>
    <t>Soil maintenance (cover crop, fallow etc)</t>
  </si>
  <si>
    <t xml:space="preserve"> Land costs</t>
  </si>
  <si>
    <t xml:space="preserve"> Certification fees</t>
  </si>
  <si>
    <t>For more information:</t>
  </si>
  <si>
    <t>OMAFRA Agricultural Information Centre</t>
  </si>
  <si>
    <t>1-877-424-1300</t>
  </si>
  <si>
    <t xml:space="preserve">The user of this worksheet assumes all responsibility. </t>
  </si>
  <si>
    <t>BARLEY - ORGANIC ENTERPRISE BUDGET</t>
  </si>
  <si>
    <t xml:space="preserve">Risk Indicator - </t>
  </si>
  <si>
    <t>Coefficient of variation                 ==&gt;</t>
  </si>
  <si>
    <t>Low Risk</t>
  </si>
  <si>
    <t>Moderate Risk</t>
  </si>
  <si>
    <t>High Risk</t>
  </si>
  <si>
    <t>Optimistic</t>
  </si>
  <si>
    <t xml:space="preserve"> Expected</t>
  </si>
  <si>
    <t>Pessimistic</t>
  </si>
  <si>
    <t>ag.info.omafra@ontario.ca</t>
  </si>
  <si>
    <t>This is a cost of production budgeting tool that has 1 worksheet. There are fields that can be completed by the user. It is up to 21 columns wide and 252 rows.</t>
  </si>
  <si>
    <t>Fertilizer Application</t>
  </si>
  <si>
    <t>Pesticide Application</t>
  </si>
  <si>
    <t>End of worksheet</t>
  </si>
  <si>
    <t xml:space="preserve">  Production Insurance (PI)</t>
  </si>
  <si>
    <t xml:space="preserve">   Guaranteed Yield/acre</t>
  </si>
  <si>
    <t xml:space="preserve">   Expected Payout/acre</t>
  </si>
  <si>
    <t xml:space="preserve">  Participate in PI? (y/n)</t>
  </si>
  <si>
    <t xml:space="preserve"> Yield - bushel/acre</t>
  </si>
  <si>
    <t xml:space="preserve"> Price - $/bushel</t>
  </si>
  <si>
    <t xml:space="preserve"> Yield - bales/acre</t>
  </si>
  <si>
    <t xml:space="preserve"> Barley - bushels</t>
  </si>
  <si>
    <t xml:space="preserve">   P.I. Premium/acre:</t>
  </si>
  <si>
    <t>Dry fertilizer</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</si>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</sst>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Tahoma"/>
      <family val="2"/>
    </font>
    <font>
      <b/>
      <sz val="12"/>
      <color indexed="81"/>
      <name val="Arial"/>
      <family val="2"/>
    </font>
    <font>
      <sz val="12"/>
      <color indexed="81"/>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28">
    <xf numFmtId="0" fontId="0" fillId="0" borderId="0" xfId="0"/>
    <xf numFmtId="0" fontId="3" fillId="0" borderId="0" xfId="4" applyFont="1"/>
    <xf numFmtId="0" fontId="2" fillId="0" borderId="0" xfId="4"/>
    <xf numFmtId="168" fontId="2" fillId="0" borderId="0" xfId="4" applyNumberFormat="1"/>
    <xf numFmtId="0" fontId="3" fillId="0" borderId="0" xfId="4" applyFont="1" applyProtection="1"/>
    <xf numFmtId="0" fontId="3" fillId="0" borderId="0" xfId="4" applyFont="1" applyAlignment="1" applyProtection="1">
      <alignment horizontal="center"/>
    </xf>
    <xf numFmtId="168" fontId="3" fillId="0" borderId="0" xfId="4" applyNumberFormat="1" applyFont="1" applyAlignment="1" applyProtection="1">
      <alignment horizontal="center"/>
    </xf>
    <xf numFmtId="0" fontId="3" fillId="0" borderId="0" xfId="4" applyFont="1" applyAlignment="1" applyProtection="1">
      <alignment horizontal="left"/>
    </xf>
    <xf numFmtId="165" fontId="3" fillId="0" borderId="0" xfId="4" applyNumberFormat="1" applyFont="1" applyProtection="1"/>
    <xf numFmtId="166" fontId="2" fillId="0" borderId="0" xfId="4" applyNumberFormat="1"/>
    <xf numFmtId="165" fontId="3" fillId="0" borderId="0" xfId="4" applyNumberFormat="1" applyFont="1" applyAlignment="1" applyProtection="1">
      <alignment horizontal="center"/>
    </xf>
    <xf numFmtId="165" fontId="2" fillId="0" borderId="0" xfId="4" applyNumberFormat="1"/>
    <xf numFmtId="0" fontId="4" fillId="0" borderId="0" xfId="4" applyFont="1"/>
    <xf numFmtId="0" fontId="3" fillId="4" borderId="0" xfId="4" applyFont="1" applyFill="1" applyBorder="1" applyProtection="1"/>
    <xf numFmtId="0" fontId="3" fillId="4" borderId="0" xfId="4" applyFont="1" applyFill="1" applyBorder="1"/>
    <xf numFmtId="168" fontId="3" fillId="4" borderId="0" xfId="4" applyNumberFormat="1" applyFont="1" applyFill="1" applyBorder="1" applyProtection="1"/>
    <xf numFmtId="166" fontId="3" fillId="4" borderId="0" xfId="4" applyNumberFormat="1" applyFont="1" applyFill="1" applyBorder="1" applyProtection="1"/>
    <xf numFmtId="9" fontId="3" fillId="4" borderId="0" xfId="4" applyNumberFormat="1" applyFont="1" applyFill="1" applyBorder="1" applyProtection="1"/>
    <xf numFmtId="165" fontId="3" fillId="4" borderId="0" xfId="4" applyNumberFormat="1" applyFont="1" applyFill="1" applyBorder="1" applyProtection="1"/>
    <xf numFmtId="0" fontId="2" fillId="0" borderId="0" xfId="4" applyProtection="1">
      <protection locked="0"/>
    </xf>
    <xf numFmtId="0" fontId="2" fillId="0" borderId="0" xfId="4" applyBorder="1" applyProtection="1">
      <protection locked="0"/>
    </xf>
    <xf numFmtId="0" fontId="8" fillId="2" borderId="1" xfId="4" applyFont="1" applyFill="1" applyBorder="1" applyAlignment="1" applyProtection="1">
      <alignment horizontal="left"/>
    </xf>
    <xf numFmtId="0" fontId="8" fillId="2" borderId="2" xfId="4" applyFont="1" applyFill="1" applyBorder="1" applyProtection="1"/>
    <xf numFmtId="0" fontId="8" fillId="2" borderId="2" xfId="4" applyFont="1" applyFill="1" applyBorder="1" applyAlignment="1" applyProtection="1">
      <alignment horizontal="left"/>
    </xf>
    <xf numFmtId="0" fontId="8" fillId="2" borderId="2" xfId="4" applyFont="1" applyFill="1" applyBorder="1"/>
    <xf numFmtId="0" fontId="8" fillId="2" borderId="3" xfId="4" applyFont="1" applyFill="1" applyBorder="1"/>
    <xf numFmtId="0" fontId="8" fillId="0" borderId="0" xfId="4" applyFont="1"/>
    <xf numFmtId="165" fontId="8" fillId="2" borderId="4" xfId="4" applyNumberFormat="1" applyFont="1" applyFill="1" applyBorder="1" applyProtection="1"/>
    <xf numFmtId="0" fontId="8" fillId="2" borderId="0" xfId="4" applyFont="1" applyFill="1" applyBorder="1"/>
    <xf numFmtId="165" fontId="8" fillId="2" borderId="0" xfId="4" applyNumberFormat="1" applyFont="1" applyFill="1" applyBorder="1" applyProtection="1"/>
    <xf numFmtId="0" fontId="8" fillId="2" borderId="0" xfId="4" applyFont="1" applyFill="1" applyBorder="1" applyAlignment="1" applyProtection="1">
      <alignment horizontal="left"/>
    </xf>
    <xf numFmtId="164" fontId="8" fillId="2" borderId="5" xfId="4" applyNumberFormat="1" applyFont="1" applyFill="1" applyBorder="1" applyAlignment="1" applyProtection="1">
      <alignment horizontal="center"/>
    </xf>
    <xf numFmtId="0" fontId="8" fillId="2" borderId="4" xfId="4" applyFont="1" applyFill="1" applyBorder="1" applyProtection="1"/>
    <xf numFmtId="0" fontId="9" fillId="3" borderId="6" xfId="4" applyFont="1" applyFill="1" applyBorder="1" applyAlignment="1" applyProtection="1">
      <alignment horizontal="center"/>
      <protection locked="0"/>
    </xf>
    <xf numFmtId="0" fontId="8" fillId="2" borderId="0" xfId="4" applyFont="1" applyFill="1" applyBorder="1" applyProtection="1"/>
    <xf numFmtId="0" fontId="8" fillId="2" borderId="5" xfId="4" applyFont="1" applyFill="1" applyBorder="1" applyAlignment="1" applyProtection="1">
      <alignment horizontal="left"/>
    </xf>
    <xf numFmtId="0" fontId="8" fillId="2" borderId="5" xfId="4" applyFont="1" applyFill="1" applyBorder="1"/>
    <xf numFmtId="0" fontId="8" fillId="4" borderId="7" xfId="4" applyFont="1" applyFill="1" applyBorder="1" applyAlignment="1" applyProtection="1">
      <alignment horizontal="fill"/>
    </xf>
    <xf numFmtId="0" fontId="8" fillId="2" borderId="4" xfId="4" applyFont="1" applyFill="1" applyBorder="1" applyAlignment="1" applyProtection="1">
      <alignment horizontal="left"/>
    </xf>
    <xf numFmtId="0" fontId="6" fillId="5" borderId="2" xfId="0" applyFont="1" applyFill="1" applyBorder="1" applyAlignment="1" applyProtection="1">
      <alignment horizontal="center"/>
    </xf>
    <xf numFmtId="0" fontId="8" fillId="2" borderId="0" xfId="2" applyFont="1" applyFill="1" applyBorder="1"/>
    <xf numFmtId="166" fontId="9" fillId="3" borderId="6" xfId="4" applyNumberFormat="1" applyFont="1" applyFill="1" applyBorder="1" applyAlignment="1" applyProtection="1">
      <alignment horizontal="center"/>
      <protection locked="0"/>
    </xf>
    <xf numFmtId="0" fontId="8" fillId="2" borderId="5" xfId="4" applyFont="1" applyFill="1" applyBorder="1" applyProtection="1"/>
    <xf numFmtId="166" fontId="8" fillId="2" borderId="0" xfId="4" applyNumberFormat="1" applyFont="1" applyFill="1" applyBorder="1" applyProtection="1"/>
    <xf numFmtId="10" fontId="8" fillId="2" borderId="5" xfId="4" applyNumberFormat="1" applyFont="1" applyFill="1" applyBorder="1" applyProtection="1"/>
    <xf numFmtId="0" fontId="8" fillId="2" borderId="0" xfId="4" applyFont="1" applyFill="1" applyBorder="1" applyAlignment="1" applyProtection="1">
      <alignment horizontal="center"/>
    </xf>
    <xf numFmtId="166" fontId="8" fillId="2" borderId="5" xfId="4" applyNumberFormat="1" applyFont="1" applyFill="1" applyBorder="1" applyProtection="1"/>
    <xf numFmtId="9" fontId="8" fillId="2" borderId="5" xfId="4" applyNumberFormat="1" applyFont="1" applyFill="1" applyBorder="1" applyProtection="1"/>
    <xf numFmtId="9" fontId="9" fillId="3" borderId="6" xfId="4" applyNumberFormat="1" applyFont="1" applyFill="1" applyBorder="1" applyAlignment="1" applyProtection="1">
      <alignment horizontal="center"/>
      <protection locked="0"/>
    </xf>
    <xf numFmtId="166" fontId="8" fillId="2" borderId="5" xfId="4" applyNumberFormat="1" applyFont="1" applyFill="1" applyBorder="1" applyAlignment="1" applyProtection="1">
      <alignment horizontal="center"/>
    </xf>
    <xf numFmtId="167" fontId="8" fillId="2" borderId="0" xfId="4" applyNumberFormat="1" applyFont="1" applyFill="1" applyBorder="1" applyProtection="1"/>
    <xf numFmtId="10" fontId="8" fillId="2" borderId="5" xfId="4" applyNumberFormat="1" applyFont="1" applyFill="1" applyBorder="1" applyAlignment="1" applyProtection="1">
      <alignment horizontal="center"/>
    </xf>
    <xf numFmtId="165" fontId="8" fillId="2" borderId="5" xfId="4" applyNumberFormat="1" applyFont="1" applyFill="1" applyBorder="1" applyAlignment="1" applyProtection="1">
      <alignment horizontal="center"/>
    </xf>
    <xf numFmtId="165" fontId="8" fillId="2" borderId="8" xfId="4" applyNumberFormat="1" applyFont="1" applyFill="1" applyBorder="1" applyProtection="1"/>
    <xf numFmtId="168" fontId="8" fillId="2" borderId="0" xfId="4" applyNumberFormat="1" applyFont="1" applyFill="1" applyBorder="1" applyProtection="1"/>
    <xf numFmtId="0" fontId="9" fillId="5" borderId="9" xfId="4" applyFont="1" applyFill="1" applyBorder="1" applyAlignment="1" applyProtection="1">
      <alignment horizontal="center"/>
      <protection locked="0"/>
    </xf>
    <xf numFmtId="0" fontId="8" fillId="4" borderId="8" xfId="4" applyFont="1" applyFill="1" applyBorder="1" applyAlignment="1" applyProtection="1">
      <alignment horizontal="fill"/>
    </xf>
    <xf numFmtId="0" fontId="8" fillId="2" borderId="5" xfId="4" applyFont="1" applyFill="1" applyBorder="1" applyAlignment="1" applyProtection="1">
      <alignment horizontal="center"/>
    </xf>
    <xf numFmtId="0" fontId="8" fillId="2" borderId="4" xfId="4" applyFont="1" applyFill="1" applyBorder="1" applyAlignment="1" applyProtection="1">
      <alignment horizontal="left"/>
      <protection locked="0"/>
    </xf>
    <xf numFmtId="0" fontId="8" fillId="2" borderId="0" xfId="4" applyFont="1" applyFill="1" applyBorder="1" applyProtection="1">
      <protection locked="0"/>
    </xf>
    <xf numFmtId="0" fontId="8" fillId="2" borderId="0" xfId="4" applyFont="1" applyFill="1" applyBorder="1" applyAlignment="1" applyProtection="1">
      <alignment horizontal="center"/>
      <protection locked="0"/>
    </xf>
    <xf numFmtId="168" fontId="8" fillId="2" borderId="0" xfId="4" applyNumberFormat="1" applyFont="1" applyFill="1" applyBorder="1" applyAlignment="1" applyProtection="1">
      <alignment horizontal="center"/>
    </xf>
    <xf numFmtId="168" fontId="8" fillId="2" borderId="5" xfId="4" applyNumberFormat="1" applyFont="1" applyFill="1" applyBorder="1" applyAlignment="1" applyProtection="1">
      <alignment horizontal="center"/>
    </xf>
    <xf numFmtId="0" fontId="8" fillId="2" borderId="0" xfId="4" quotePrefix="1" applyFont="1" applyFill="1" applyBorder="1" applyProtection="1">
      <protection locked="0"/>
    </xf>
    <xf numFmtId="167" fontId="9" fillId="3" borderId="6" xfId="4" applyNumberFormat="1" applyFont="1" applyFill="1" applyBorder="1" applyAlignment="1" applyProtection="1">
      <alignment horizontal="center"/>
      <protection locked="0"/>
    </xf>
    <xf numFmtId="0" fontId="8" fillId="2" borderId="4" xfId="4" applyFont="1" applyFill="1" applyBorder="1" applyProtection="1">
      <protection locked="0"/>
    </xf>
    <xf numFmtId="0" fontId="8" fillId="2" borderId="0" xfId="4" quotePrefix="1" applyFont="1" applyFill="1" applyBorder="1" applyAlignment="1" applyProtection="1">
      <alignment horizontal="left"/>
      <protection locked="0"/>
    </xf>
    <xf numFmtId="0" fontId="9" fillId="5" borderId="0" xfId="4" applyFont="1" applyFill="1" applyBorder="1" applyAlignment="1" applyProtection="1">
      <alignment horizontal="left"/>
      <protection locked="0"/>
    </xf>
    <xf numFmtId="0" fontId="8" fillId="2" borderId="4" xfId="2" applyFont="1" applyFill="1" applyBorder="1" applyAlignment="1" applyProtection="1">
      <alignment horizontal="left"/>
      <protection locked="0"/>
    </xf>
    <xf numFmtId="167" fontId="8" fillId="2" borderId="0" xfId="4" applyNumberFormat="1" applyFont="1" applyFill="1" applyBorder="1" applyProtection="1">
      <protection locked="0"/>
    </xf>
    <xf numFmtId="168" fontId="8" fillId="2" borderId="5" xfId="4" applyNumberFormat="1" applyFont="1" applyFill="1" applyBorder="1" applyProtection="1"/>
    <xf numFmtId="165" fontId="8" fillId="0" borderId="0" xfId="4" applyNumberFormat="1" applyFont="1" applyProtection="1"/>
    <xf numFmtId="166" fontId="8" fillId="2" borderId="0" xfId="4" applyNumberFormat="1" applyFont="1" applyFill="1" applyBorder="1" applyAlignment="1" applyProtection="1">
      <alignment horizontal="center"/>
      <protection locked="0"/>
    </xf>
    <xf numFmtId="0" fontId="9" fillId="3" borderId="11" xfId="4" applyFont="1" applyFill="1" applyBorder="1" applyAlignment="1" applyProtection="1">
      <protection locked="0"/>
    </xf>
    <xf numFmtId="0" fontId="5" fillId="6" borderId="12" xfId="0" applyFont="1" applyFill="1" applyBorder="1" applyAlignment="1" applyProtection="1">
      <protection locked="0"/>
    </xf>
    <xf numFmtId="0" fontId="9" fillId="5" borderId="5" xfId="4" applyFont="1" applyFill="1" applyBorder="1" applyAlignment="1" applyProtection="1">
      <alignment horizontal="left"/>
      <protection locked="0"/>
    </xf>
    <xf numFmtId="0" fontId="9" fillId="3" borderId="11" xfId="3" applyFont="1" applyFill="1" applyBorder="1" applyAlignment="1" applyProtection="1">
      <protection locked="0"/>
    </xf>
    <xf numFmtId="0" fontId="5" fillId="6" borderId="7" xfId="0" applyFont="1" applyFill="1" applyBorder="1" applyAlignment="1" applyProtection="1">
      <protection locked="0"/>
    </xf>
    <xf numFmtId="166" fontId="8" fillId="2" borderId="0" xfId="4" applyNumberFormat="1" applyFont="1" applyFill="1" applyBorder="1" applyProtection="1">
      <protection locked="0"/>
    </xf>
    <xf numFmtId="0" fontId="8" fillId="2" borderId="5" xfId="4" applyFont="1" applyFill="1" applyBorder="1" applyAlignment="1" applyProtection="1">
      <alignment horizontal="right"/>
    </xf>
    <xf numFmtId="0" fontId="10" fillId="2" borderId="0" xfId="4" applyFont="1" applyFill="1" applyBorder="1" applyAlignment="1" applyProtection="1">
      <alignment horizontal="center"/>
      <protection locked="0"/>
    </xf>
    <xf numFmtId="168" fontId="8" fillId="2" borderId="0" xfId="4" applyNumberFormat="1" applyFont="1" applyFill="1" applyBorder="1" applyProtection="1">
      <protection locked="0"/>
    </xf>
    <xf numFmtId="168" fontId="10" fillId="2" borderId="0" xfId="4" applyNumberFormat="1" applyFont="1" applyFill="1" applyBorder="1" applyAlignment="1" applyProtection="1">
      <alignment horizontal="center"/>
      <protection locked="0"/>
    </xf>
    <xf numFmtId="0" fontId="9" fillId="2" borderId="4" xfId="4" applyFont="1" applyFill="1" applyBorder="1" applyAlignment="1" applyProtection="1">
      <alignment horizontal="left"/>
      <protection locked="0"/>
    </xf>
    <xf numFmtId="168" fontId="10" fillId="2" borderId="0" xfId="4" applyNumberFormat="1" applyFont="1" applyFill="1" applyBorder="1" applyProtection="1">
      <protection locked="0"/>
    </xf>
    <xf numFmtId="166" fontId="10" fillId="2" borderId="0" xfId="4" applyNumberFormat="1" applyFont="1" applyFill="1" applyBorder="1" applyProtection="1">
      <protection locked="0"/>
    </xf>
    <xf numFmtId="0" fontId="8" fillId="2" borderId="4" xfId="4" quotePrefix="1" applyFont="1" applyFill="1" applyBorder="1" applyAlignment="1" applyProtection="1">
      <alignment horizontal="left"/>
      <protection locked="0"/>
    </xf>
    <xf numFmtId="9" fontId="8" fillId="2" borderId="0" xfId="4" applyNumberFormat="1" applyFont="1" applyFill="1" applyBorder="1" applyProtection="1"/>
    <xf numFmtId="165" fontId="8" fillId="2" borderId="5" xfId="4" applyNumberFormat="1" applyFont="1" applyFill="1" applyBorder="1" applyProtection="1"/>
    <xf numFmtId="166" fontId="8" fillId="2" borderId="0" xfId="4" applyNumberFormat="1" applyFont="1" applyFill="1" applyBorder="1" applyAlignment="1" applyProtection="1">
      <alignment horizontal="center"/>
    </xf>
    <xf numFmtId="2" fontId="5" fillId="0" borderId="0" xfId="0" applyNumberFormat="1" applyFont="1" applyProtection="1"/>
    <xf numFmtId="0" fontId="8" fillId="2" borderId="4" xfId="4" applyFont="1" applyFill="1" applyBorder="1"/>
    <xf numFmtId="165" fontId="8" fillId="0" borderId="0" xfId="4" applyNumberFormat="1" applyFont="1" applyAlignment="1" applyProtection="1">
      <alignment horizontal="center"/>
    </xf>
    <xf numFmtId="9" fontId="8" fillId="2" borderId="0" xfId="4" applyNumberFormat="1" applyFont="1" applyFill="1" applyBorder="1" applyAlignment="1" applyProtection="1">
      <alignment horizontal="center"/>
    </xf>
    <xf numFmtId="165" fontId="8" fillId="2" borderId="5" xfId="4" applyNumberFormat="1" applyFont="1" applyFill="1" applyBorder="1" applyAlignment="1" applyProtection="1">
      <alignment horizontal="left"/>
    </xf>
    <xf numFmtId="0" fontId="9" fillId="5" borderId="0" xfId="4"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0" fontId="8" fillId="2" borderId="0" xfId="4" quotePrefix="1" applyFont="1" applyFill="1" applyBorder="1" applyAlignment="1" applyProtection="1">
      <alignment horizontal="left"/>
    </xf>
    <xf numFmtId="0" fontId="9" fillId="5" borderId="8" xfId="4" applyFont="1" applyFill="1" applyBorder="1" applyAlignment="1" applyProtection="1">
      <alignment horizontal="center"/>
      <protection locked="0"/>
    </xf>
    <xf numFmtId="0" fontId="11"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8" xfId="0" applyFont="1" applyFill="1" applyBorder="1"/>
    <xf numFmtId="9" fontId="8" fillId="4" borderId="8" xfId="0" applyNumberFormat="1" applyFont="1" applyFill="1" applyBorder="1" applyProtection="1"/>
    <xf numFmtId="168" fontId="8" fillId="4" borderId="8" xfId="0" applyNumberFormat="1" applyFont="1" applyFill="1" applyBorder="1" applyProtection="1"/>
    <xf numFmtId="168" fontId="8" fillId="4" borderId="9" xfId="0" applyNumberFormat="1" applyFont="1" applyFill="1" applyBorder="1" applyProtection="1"/>
    <xf numFmtId="0" fontId="6" fillId="0" borderId="0" xfId="5" applyFont="1"/>
    <xf numFmtId="0" fontId="16" fillId="0" borderId="8" xfId="1" applyFont="1" applyFill="1" applyBorder="1" applyAlignment="1" applyProtection="1">
      <alignment horizontal="center"/>
    </xf>
    <xf numFmtId="0" fontId="8" fillId="4" borderId="0" xfId="6" applyFont="1" applyFill="1" applyBorder="1" applyProtection="1"/>
    <xf numFmtId="0" fontId="3" fillId="4" borderId="0" xfId="6" applyFont="1" applyFill="1" applyBorder="1"/>
    <xf numFmtId="0" fontId="3" fillId="4" borderId="0" xfId="6" applyFont="1" applyFill="1" applyBorder="1" applyProtection="1"/>
    <xf numFmtId="166" fontId="3" fillId="4" borderId="0" xfId="6" applyNumberFormat="1" applyFont="1" applyFill="1" applyBorder="1" applyProtection="1"/>
    <xf numFmtId="0" fontId="8" fillId="2" borderId="2" xfId="2" applyFont="1" applyFill="1" applyBorder="1" applyAlignment="1" applyProtection="1">
      <alignment horizontal="left"/>
    </xf>
    <xf numFmtId="0" fontId="8" fillId="2" borderId="0" xfId="2" applyFont="1" applyFill="1" applyBorder="1" applyAlignment="1" applyProtection="1">
      <alignment horizontal="left"/>
    </xf>
    <xf numFmtId="0" fontId="8" fillId="2" borderId="0" xfId="2" applyFont="1" applyFill="1" applyBorder="1" applyProtection="1"/>
  </cellXfs>
  <cellStyles count="7">
    <cellStyle name="Hyperlink" xfId="1" builtinId="8"/>
    <cellStyle name="Normal" xfId="0" builtinId="0"/>
    <cellStyle name="Normal_Corn2" xfId="2" xr:uid="{00000000-0005-0000-0000-000002000000}"/>
    <cellStyle name="Normal_Oats" xfId="6" xr:uid="{B3786948-08DF-42E7-B2D2-BC3FAC3F8A5E}"/>
    <cellStyle name="Normal_Raspc2" xfId="5" xr:uid="{00000000-0005-0000-0000-000003000000}"/>
    <cellStyle name="Normal_Soyb"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3F8DB23E-134F-4607-9817-D1337D99E2E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zoomScaleNormal="100" zoomScaleSheetLayoutView="85" workbookViewId="0">
      <selection activeCell="F52" sqref="F52:F55"/>
    </sheetView>
  </sheetViews>
  <sheetFormatPr defaultColWidth="11" defaultRowHeight="10.75" x14ac:dyDescent="0.25"/>
  <cols>
    <col min="1" max="2" width="15.69140625" style="2" customWidth="1"/>
    <col min="3" max="3" width="20.3046875" style="2" customWidth="1"/>
    <col min="4" max="7" width="15.69140625" style="2" customWidth="1"/>
    <col min="8" max="8" width="15.3046875" style="2" customWidth="1"/>
    <col min="9" max="9" width="15.69140625" style="2" hidden="1" customWidth="1"/>
    <col min="10" max="18" width="11" style="2" hidden="1" customWidth="1"/>
    <col min="19" max="19" width="8.69140625" style="2" hidden="1" customWidth="1"/>
    <col min="20" max="20" width="3" style="2" hidden="1" customWidth="1"/>
    <col min="21" max="21" width="19" style="2" hidden="1" customWidth="1"/>
    <col min="22" max="28" width="11" style="2" hidden="1" customWidth="1"/>
    <col min="29"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9" t="s">
        <v>143</v>
      </c>
    </row>
    <row r="2" spans="1:34" ht="15.45" x14ac:dyDescent="0.4">
      <c r="A2" s="21"/>
      <c r="B2" s="22"/>
      <c r="C2" s="23" t="s">
        <v>133</v>
      </c>
      <c r="D2" s="24"/>
      <c r="E2" s="24"/>
      <c r="F2" s="24"/>
      <c r="G2" s="125" t="s">
        <v>157</v>
      </c>
      <c r="H2" s="25"/>
      <c r="I2" s="26"/>
      <c r="J2" s="1"/>
      <c r="K2" s="1"/>
      <c r="L2" s="1"/>
      <c r="AA2" s="3">
        <f ca="1">E91</f>
        <v>-18.816442037598108</v>
      </c>
      <c r="AB2" s="19"/>
      <c r="AC2" s="19"/>
      <c r="AD2" s="19"/>
      <c r="AE2" s="19"/>
      <c r="AF2" s="19"/>
      <c r="AG2" s="19"/>
      <c r="AH2" s="19"/>
    </row>
    <row r="3" spans="1:34" ht="19.5" customHeight="1" x14ac:dyDescent="0.4">
      <c r="A3" s="27">
        <v>505</v>
      </c>
      <c r="B3" s="28"/>
      <c r="C3" s="28"/>
      <c r="D3" s="29"/>
      <c r="E3" s="28"/>
      <c r="F3" s="30" t="s">
        <v>122</v>
      </c>
      <c r="G3" s="28"/>
      <c r="H3" s="31">
        <f ca="1">AA2</f>
        <v>-18.816442037598108</v>
      </c>
      <c r="I3" s="26"/>
      <c r="J3" s="1"/>
      <c r="K3" s="1"/>
      <c r="L3" s="1"/>
      <c r="AA3" s="2">
        <f>C8*D4</f>
        <v>70</v>
      </c>
      <c r="AB3" s="19"/>
      <c r="AC3" s="19"/>
      <c r="AD3" s="19"/>
      <c r="AE3" s="19"/>
      <c r="AF3" s="19"/>
      <c r="AG3" s="19"/>
      <c r="AH3" s="19"/>
    </row>
    <row r="4" spans="1:34" ht="15.45" x14ac:dyDescent="0.4">
      <c r="A4" s="32"/>
      <c r="B4" s="30" t="s">
        <v>0</v>
      </c>
      <c r="C4" s="28"/>
      <c r="D4" s="33">
        <v>1</v>
      </c>
      <c r="E4" s="28"/>
      <c r="F4" s="30" t="s">
        <v>1</v>
      </c>
      <c r="G4" s="34">
        <v>45.93</v>
      </c>
      <c r="H4" s="35" t="s">
        <v>2</v>
      </c>
      <c r="I4" s="26"/>
      <c r="J4" s="1"/>
      <c r="K4" s="1"/>
      <c r="L4" s="1"/>
      <c r="AA4" s="2">
        <f>E8*D4</f>
        <v>56</v>
      </c>
      <c r="AB4" s="19"/>
      <c r="AC4" s="19"/>
      <c r="AD4" s="19"/>
      <c r="AE4" s="19"/>
      <c r="AF4" s="19"/>
      <c r="AG4" s="19"/>
      <c r="AH4" s="19"/>
    </row>
    <row r="5" spans="1:34" ht="15.45" x14ac:dyDescent="0.4">
      <c r="A5" s="32"/>
      <c r="B5" s="28"/>
      <c r="C5" s="28"/>
      <c r="D5" s="28"/>
      <c r="E5" s="28"/>
      <c r="F5" s="28"/>
      <c r="G5" s="28"/>
      <c r="H5" s="36"/>
      <c r="I5" s="26"/>
      <c r="J5" s="1"/>
      <c r="K5" s="1"/>
      <c r="L5" s="1"/>
      <c r="AA5" s="2">
        <f>G8*D4</f>
        <v>45</v>
      </c>
      <c r="AB5" s="19"/>
      <c r="AC5" s="19"/>
      <c r="AD5" s="19"/>
      <c r="AE5" s="19"/>
      <c r="AF5" s="19"/>
      <c r="AG5" s="19"/>
      <c r="AH5" s="19"/>
    </row>
    <row r="6" spans="1:34" ht="15.45" x14ac:dyDescent="0.4">
      <c r="A6" s="37"/>
      <c r="B6" s="37"/>
      <c r="C6" s="37"/>
      <c r="D6" s="37"/>
      <c r="E6" s="37"/>
      <c r="F6" s="37"/>
      <c r="G6" s="37"/>
      <c r="H6" s="37"/>
      <c r="I6" s="26"/>
      <c r="J6" s="1"/>
      <c r="K6" s="1"/>
      <c r="L6" s="1"/>
      <c r="AA6" s="2">
        <f>D4*D22*E45</f>
        <v>0.55742542298334175</v>
      </c>
      <c r="AB6" s="19"/>
      <c r="AC6" s="19"/>
      <c r="AD6" s="19"/>
      <c r="AE6" s="19"/>
      <c r="AF6" s="19"/>
      <c r="AG6" s="19"/>
      <c r="AH6" s="19"/>
    </row>
    <row r="7" spans="1:34" ht="15.45" x14ac:dyDescent="0.4">
      <c r="A7" s="38" t="s">
        <v>121</v>
      </c>
      <c r="B7" s="28"/>
      <c r="C7" s="39" t="s">
        <v>139</v>
      </c>
      <c r="D7" s="40"/>
      <c r="E7" s="39" t="s">
        <v>140</v>
      </c>
      <c r="F7" s="40"/>
      <c r="G7" s="39" t="s">
        <v>141</v>
      </c>
      <c r="H7" s="36"/>
      <c r="I7" s="26"/>
      <c r="J7" s="1"/>
      <c r="K7" s="1"/>
      <c r="L7" s="1"/>
      <c r="AA7" s="2">
        <f>C11*D4</f>
        <v>0</v>
      </c>
      <c r="AB7" s="19"/>
      <c r="AC7" s="19"/>
      <c r="AD7" s="19"/>
      <c r="AE7" s="19"/>
      <c r="AF7" s="19"/>
      <c r="AG7" s="19"/>
      <c r="AH7" s="19"/>
    </row>
    <row r="8" spans="1:34" ht="15.45" x14ac:dyDescent="0.4">
      <c r="A8" s="38" t="s">
        <v>151</v>
      </c>
      <c r="B8" s="28"/>
      <c r="C8" s="33">
        <v>70</v>
      </c>
      <c r="D8" s="28"/>
      <c r="E8" s="33">
        <v>56</v>
      </c>
      <c r="F8" s="28"/>
      <c r="G8" s="33">
        <v>45</v>
      </c>
      <c r="H8" s="36"/>
      <c r="I8" s="26"/>
      <c r="J8" s="1"/>
      <c r="K8" s="1"/>
      <c r="L8" s="1"/>
      <c r="AA8" s="2">
        <f>E11*D4</f>
        <v>0</v>
      </c>
      <c r="AB8" s="19"/>
      <c r="AC8" s="19"/>
      <c r="AD8" s="19"/>
      <c r="AE8" s="19"/>
      <c r="AF8" s="19"/>
      <c r="AG8" s="19"/>
      <c r="AH8" s="19"/>
    </row>
    <row r="9" spans="1:34" ht="15.45" x14ac:dyDescent="0.4">
      <c r="A9" s="38" t="s">
        <v>152</v>
      </c>
      <c r="B9" s="28"/>
      <c r="C9" s="41">
        <v>11.978999999999999</v>
      </c>
      <c r="D9" s="28"/>
      <c r="E9" s="41">
        <v>7.5</v>
      </c>
      <c r="F9" s="28"/>
      <c r="G9" s="41">
        <v>5.6</v>
      </c>
      <c r="H9" s="36"/>
      <c r="I9" s="26"/>
      <c r="J9" s="1"/>
      <c r="K9" s="1"/>
      <c r="L9" s="1"/>
      <c r="AA9" s="2">
        <f>G11*D4</f>
        <v>0</v>
      </c>
      <c r="AB9" s="19"/>
      <c r="AC9" s="19"/>
      <c r="AD9" s="19"/>
      <c r="AE9" s="19"/>
      <c r="AF9" s="19"/>
      <c r="AG9" s="19"/>
      <c r="AH9" s="19"/>
    </row>
    <row r="10" spans="1:34" ht="15.45" x14ac:dyDescent="0.4">
      <c r="A10" s="38" t="s">
        <v>3</v>
      </c>
      <c r="B10" s="28"/>
      <c r="C10" s="34"/>
      <c r="D10" s="28"/>
      <c r="E10" s="34"/>
      <c r="F10" s="28"/>
      <c r="G10" s="34"/>
      <c r="H10" s="36"/>
      <c r="I10" s="26"/>
      <c r="J10" s="1"/>
      <c r="K10" s="1"/>
      <c r="L10" s="1"/>
      <c r="AA10" s="3">
        <f>F85</f>
        <v>0</v>
      </c>
      <c r="AB10" s="19"/>
      <c r="AC10" s="19"/>
      <c r="AD10" s="19"/>
      <c r="AE10" s="19"/>
      <c r="AF10" s="19"/>
      <c r="AG10" s="19"/>
      <c r="AH10" s="19"/>
    </row>
    <row r="11" spans="1:34" ht="15.45" x14ac:dyDescent="0.4">
      <c r="A11" s="38" t="s">
        <v>153</v>
      </c>
      <c r="B11" s="34"/>
      <c r="C11" s="33" t="s">
        <v>25</v>
      </c>
      <c r="D11" s="34"/>
      <c r="E11" s="33" t="s">
        <v>25</v>
      </c>
      <c r="F11" s="34"/>
      <c r="G11" s="33" t="s">
        <v>25</v>
      </c>
      <c r="H11" s="42"/>
      <c r="I11" s="26"/>
      <c r="J11" s="1"/>
      <c r="K11" s="1"/>
      <c r="L11" s="1"/>
      <c r="AA11" s="3">
        <f ca="1">H69</f>
        <v>370.81644203759811</v>
      </c>
      <c r="AB11" s="19"/>
      <c r="AC11" s="19"/>
      <c r="AD11" s="19"/>
      <c r="AE11" s="19"/>
      <c r="AF11" s="19"/>
      <c r="AG11" s="19"/>
      <c r="AH11" s="19"/>
    </row>
    <row r="12" spans="1:34" ht="15.45" x14ac:dyDescent="0.4">
      <c r="A12" s="38" t="s">
        <v>4</v>
      </c>
      <c r="B12" s="28"/>
      <c r="C12" s="41" t="s">
        <v>25</v>
      </c>
      <c r="D12" s="34"/>
      <c r="E12" s="41" t="s">
        <v>25</v>
      </c>
      <c r="F12" s="28"/>
      <c r="G12" s="41" t="s">
        <v>25</v>
      </c>
      <c r="H12" s="42"/>
      <c r="I12" s="26"/>
      <c r="J12" s="1"/>
      <c r="K12" s="1"/>
      <c r="L12" s="1"/>
      <c r="AA12" s="3">
        <f ca="1">H80</f>
        <v>68</v>
      </c>
      <c r="AB12" s="19"/>
      <c r="AC12" s="19"/>
      <c r="AD12" s="19"/>
      <c r="AE12" s="19"/>
      <c r="AF12" s="19"/>
      <c r="AG12" s="19"/>
      <c r="AH12" s="19"/>
    </row>
    <row r="13" spans="1:34" ht="15.45" x14ac:dyDescent="0.4">
      <c r="A13" s="38" t="s">
        <v>5</v>
      </c>
      <c r="B13" s="28"/>
      <c r="C13" s="43"/>
      <c r="D13" s="34"/>
      <c r="E13" s="43"/>
      <c r="F13" s="28"/>
      <c r="G13" s="43"/>
      <c r="H13" s="44"/>
      <c r="I13" s="26"/>
      <c r="J13" s="1"/>
      <c r="K13" s="4"/>
      <c r="L13" s="1"/>
      <c r="AA13" s="3">
        <f>F84</f>
        <v>420</v>
      </c>
      <c r="AB13" s="19"/>
      <c r="AC13" s="19"/>
      <c r="AD13" s="19"/>
      <c r="AE13" s="19"/>
      <c r="AF13" s="19"/>
      <c r="AG13" s="19"/>
      <c r="AH13" s="19"/>
    </row>
    <row r="14" spans="1:34" ht="15.45" x14ac:dyDescent="0.4">
      <c r="A14" s="38" t="s">
        <v>154</v>
      </c>
      <c r="B14" s="28"/>
      <c r="C14" s="45">
        <f>AA3</f>
        <v>70</v>
      </c>
      <c r="D14" s="43"/>
      <c r="E14" s="45">
        <f>AA4</f>
        <v>56</v>
      </c>
      <c r="F14" s="28"/>
      <c r="G14" s="45">
        <f>AA5</f>
        <v>45</v>
      </c>
      <c r="H14" s="46"/>
      <c r="I14" s="26"/>
      <c r="J14" s="1"/>
      <c r="K14" s="5">
        <f>AA6</f>
        <v>0.55742542298334175</v>
      </c>
      <c r="L14" s="1"/>
      <c r="AA14" s="2">
        <f>0.33*D22</f>
        <v>0.18395038958450277</v>
      </c>
      <c r="AB14" s="19"/>
      <c r="AC14" s="19"/>
      <c r="AD14" s="19"/>
      <c r="AE14" s="19"/>
      <c r="AF14" s="19"/>
      <c r="AG14" s="19"/>
      <c r="AH14" s="19"/>
    </row>
    <row r="15" spans="1:34" ht="15.45" x14ac:dyDescent="0.4">
      <c r="A15" s="38" t="s">
        <v>6</v>
      </c>
      <c r="B15" s="28"/>
      <c r="C15" s="45">
        <f>AA7</f>
        <v>0</v>
      </c>
      <c r="D15" s="43"/>
      <c r="E15" s="45">
        <f>AA8</f>
        <v>0</v>
      </c>
      <c r="F15" s="28"/>
      <c r="G15" s="45">
        <f>AA9</f>
        <v>0</v>
      </c>
      <c r="H15" s="47"/>
      <c r="I15" s="26"/>
      <c r="J15" s="1"/>
      <c r="K15" s="6">
        <f>AA10</f>
        <v>0</v>
      </c>
      <c r="L15" s="1"/>
      <c r="AA15" s="2">
        <f>D4*I102</f>
        <v>256.06710164535389</v>
      </c>
      <c r="AB15" s="19"/>
      <c r="AC15" s="19"/>
      <c r="AD15" s="19"/>
      <c r="AE15" s="19"/>
      <c r="AF15" s="19"/>
      <c r="AG15" s="19"/>
      <c r="AH15" s="19"/>
    </row>
    <row r="16" spans="1:34" ht="15.45" x14ac:dyDescent="0.4">
      <c r="A16" s="37"/>
      <c r="B16" s="37"/>
      <c r="C16" s="37"/>
      <c r="D16" s="37"/>
      <c r="E16" s="37"/>
      <c r="F16" s="37"/>
      <c r="G16" s="37"/>
      <c r="H16" s="37"/>
      <c r="I16" s="26"/>
      <c r="J16" s="1"/>
      <c r="K16" s="6">
        <f ca="1">AA11</f>
        <v>370.81644203759811</v>
      </c>
      <c r="L16" s="1"/>
      <c r="AA16" s="2">
        <f>D4*E8/G4</f>
        <v>1.2192466797300239</v>
      </c>
      <c r="AB16" s="19"/>
      <c r="AC16" s="19"/>
      <c r="AD16" s="19"/>
      <c r="AE16" s="19"/>
      <c r="AF16" s="19"/>
      <c r="AG16" s="19"/>
      <c r="AH16" s="19"/>
    </row>
    <row r="17" spans="1:34" ht="15.45" x14ac:dyDescent="0.4">
      <c r="A17" s="32"/>
      <c r="B17" s="28"/>
      <c r="C17" s="34"/>
      <c r="D17" s="30" t="s">
        <v>7</v>
      </c>
      <c r="E17" s="34"/>
      <c r="F17" s="34"/>
      <c r="G17" s="34"/>
      <c r="H17" s="44"/>
      <c r="I17" s="26"/>
      <c r="J17" s="1"/>
      <c r="K17" s="6">
        <f ca="1">AA12</f>
        <v>68</v>
      </c>
      <c r="L17" s="1"/>
      <c r="AA17" s="2">
        <f>IF(D23&lt;0.0001,0.0001,IF(D23&gt;1,1,D23))</f>
        <v>9.3603765125992236E-3</v>
      </c>
      <c r="AB17" s="19"/>
      <c r="AC17" s="19"/>
      <c r="AD17" s="19"/>
      <c r="AE17" s="19"/>
      <c r="AF17" s="19"/>
      <c r="AG17" s="19"/>
      <c r="AH17" s="19"/>
    </row>
    <row r="18" spans="1:34" ht="15.45" x14ac:dyDescent="0.4">
      <c r="A18" s="27" t="s">
        <v>118</v>
      </c>
      <c r="B18" s="29"/>
      <c r="C18" s="29"/>
      <c r="D18" s="29"/>
      <c r="E18" s="126" t="s">
        <v>147</v>
      </c>
      <c r="F18" s="34"/>
      <c r="G18" s="34"/>
      <c r="H18" s="42"/>
      <c r="I18" s="26"/>
      <c r="J18" s="1"/>
      <c r="K18" s="6">
        <f>AA13</f>
        <v>420</v>
      </c>
      <c r="L18" s="1"/>
      <c r="AA18" s="2">
        <f>E8*H20</f>
        <v>50.4</v>
      </c>
      <c r="AB18" s="19"/>
      <c r="AC18" s="19"/>
      <c r="AD18" s="19"/>
      <c r="AE18" s="19"/>
      <c r="AF18" s="19"/>
      <c r="AG18" s="19"/>
      <c r="AH18" s="19"/>
    </row>
    <row r="19" spans="1:34" ht="15.45" x14ac:dyDescent="0.4">
      <c r="A19" s="27" t="s">
        <v>8</v>
      </c>
      <c r="B19" s="29"/>
      <c r="C19" s="29"/>
      <c r="D19" s="29">
        <f>AA14</f>
        <v>0.18395038958450277</v>
      </c>
      <c r="E19" s="126" t="s">
        <v>155</v>
      </c>
      <c r="F19" s="34"/>
      <c r="G19" s="34"/>
      <c r="H19" s="41">
        <v>9.75</v>
      </c>
      <c r="I19" s="26"/>
      <c r="J19" s="1"/>
      <c r="K19" s="5">
        <f>AA15</f>
        <v>256.06710164535389</v>
      </c>
      <c r="L19" s="1"/>
      <c r="AA19" s="2">
        <f>E9*G4</f>
        <v>344.47500000000002</v>
      </c>
      <c r="AB19" s="19"/>
      <c r="AC19" s="19"/>
      <c r="AD19" s="19"/>
      <c r="AE19" s="19"/>
      <c r="AF19" s="19"/>
      <c r="AG19" s="19"/>
      <c r="AH19" s="19"/>
    </row>
    <row r="20" spans="1:34" ht="15.45" x14ac:dyDescent="0.4">
      <c r="A20" s="27" t="s">
        <v>9</v>
      </c>
      <c r="B20" s="29"/>
      <c r="C20" s="29"/>
      <c r="D20" s="29" t="s">
        <v>10</v>
      </c>
      <c r="E20" s="126" t="s">
        <v>11</v>
      </c>
      <c r="F20" s="34"/>
      <c r="G20" s="34"/>
      <c r="H20" s="48">
        <v>0.9</v>
      </c>
      <c r="I20" s="26"/>
      <c r="J20" s="1"/>
      <c r="K20" s="5">
        <f>AA16</f>
        <v>1.2192466797300239</v>
      </c>
      <c r="L20" s="1"/>
      <c r="AA20" s="2">
        <f>E8*(D23*(D20-E9)+((C9-G9)/2)*EXP(-0.5*((D20-E9)/((C9-G9)/2))^2)/SQRT(2*PI()))</f>
        <v>0.55742542298334175</v>
      </c>
      <c r="AB20" s="19"/>
      <c r="AC20" s="19"/>
      <c r="AD20" s="19"/>
      <c r="AE20" s="19"/>
      <c r="AF20" s="19"/>
      <c r="AG20" s="19"/>
      <c r="AH20" s="19"/>
    </row>
    <row r="21" spans="1:34" ht="15.45" x14ac:dyDescent="0.4">
      <c r="A21" s="27" t="s">
        <v>12</v>
      </c>
      <c r="B21" s="29"/>
      <c r="C21" s="29"/>
      <c r="D21" s="29">
        <f>AA17</f>
        <v>9.3603765125992236E-3</v>
      </c>
      <c r="E21" s="126" t="s">
        <v>148</v>
      </c>
      <c r="F21" s="34"/>
      <c r="G21" s="34"/>
      <c r="H21" s="49">
        <f>AA18</f>
        <v>50.4</v>
      </c>
      <c r="I21" s="26"/>
      <c r="J21" s="1"/>
      <c r="K21" s="5">
        <f>AA19</f>
        <v>344.47500000000002</v>
      </c>
      <c r="L21" s="1"/>
      <c r="AA21" s="2">
        <f>IF(H24&lt;0.0001,0.0001,IF(H24&gt;1,1,H24))</f>
        <v>0.32707747359154116</v>
      </c>
      <c r="AB21" s="19"/>
      <c r="AC21" s="19"/>
      <c r="AD21" s="19"/>
      <c r="AE21" s="19"/>
      <c r="AF21" s="19"/>
      <c r="AG21" s="19"/>
      <c r="AH21" s="19"/>
    </row>
    <row r="22" spans="1:34" ht="15.45" x14ac:dyDescent="0.4">
      <c r="A22" s="27" t="s">
        <v>13</v>
      </c>
      <c r="B22" s="29"/>
      <c r="C22" s="29"/>
      <c r="D22" s="29">
        <f>AA20</f>
        <v>0.55742542298334175</v>
      </c>
      <c r="E22" s="126" t="s">
        <v>14</v>
      </c>
      <c r="F22" s="50"/>
      <c r="G22" s="34"/>
      <c r="H22" s="51">
        <f>AA21</f>
        <v>0.32707747359154116</v>
      </c>
      <c r="I22" s="26"/>
      <c r="J22" s="1"/>
      <c r="K22" s="7" t="s">
        <v>15</v>
      </c>
      <c r="L22" s="1"/>
      <c r="AA22" s="2">
        <f>(EXP(-0.5*((E9-D20)/((C9-G9)/2))^2)/SQRT(2*PI()))*(0.43618*(K32^(-1))-0.1202*(K32^(-2))+0.9373*(K32^(-3)))</f>
        <v>9.3603765125992236E-3</v>
      </c>
      <c r="AB22" s="19"/>
      <c r="AC22" s="19"/>
      <c r="AD22" s="19"/>
      <c r="AE22" s="19"/>
      <c r="AF22" s="19"/>
      <c r="AG22" s="19"/>
      <c r="AH22" s="19"/>
    </row>
    <row r="23" spans="1:34" ht="15.45" x14ac:dyDescent="0.4">
      <c r="A23" s="27"/>
      <c r="B23" s="29"/>
      <c r="C23" s="29"/>
      <c r="D23" s="29">
        <f>AA22</f>
        <v>9.3603765125992236E-3</v>
      </c>
      <c r="E23" s="126" t="s">
        <v>149</v>
      </c>
      <c r="F23" s="34"/>
      <c r="G23" s="34"/>
      <c r="H23" s="31">
        <f>AA23</f>
        <v>20.092514335654013</v>
      </c>
      <c r="I23" s="26"/>
      <c r="J23" s="1"/>
      <c r="K23" s="5">
        <f>AA24</f>
        <v>1</v>
      </c>
      <c r="L23" s="1"/>
      <c r="AA23" s="2">
        <f>E9*(H24*(H21-E8)+((C8-G8)/2)*EXP(-0.5*((H21-E8)/((C8-G8)/2))^2)/SQRT(2*PI()))</f>
        <v>20.092514335654013</v>
      </c>
      <c r="AB23" s="19"/>
      <c r="AC23" s="19"/>
      <c r="AD23" s="19"/>
      <c r="AE23" s="19"/>
      <c r="AF23" s="19"/>
      <c r="AG23" s="19"/>
      <c r="AH23" s="19"/>
    </row>
    <row r="24" spans="1:34" ht="15.45" x14ac:dyDescent="0.4">
      <c r="A24" s="27"/>
      <c r="B24" s="29"/>
      <c r="C24" s="29"/>
      <c r="D24" s="29"/>
      <c r="E24" s="127"/>
      <c r="F24" s="34"/>
      <c r="G24" s="34"/>
      <c r="H24" s="52">
        <f>AA25</f>
        <v>0.32707747359154116</v>
      </c>
      <c r="I24" s="26"/>
      <c r="J24" s="1"/>
      <c r="K24" s="6">
        <f t="shared" ref="K24:K29" si="0">AA26</f>
        <v>112.5</v>
      </c>
      <c r="L24" s="1"/>
      <c r="AA24" s="2">
        <f>D4</f>
        <v>1</v>
      </c>
      <c r="AB24" s="19"/>
      <c r="AC24" s="19"/>
      <c r="AD24" s="19"/>
      <c r="AE24" s="19"/>
      <c r="AF24" s="19"/>
      <c r="AG24" s="19"/>
      <c r="AH24" s="19"/>
    </row>
    <row r="25" spans="1:34" ht="15.45" x14ac:dyDescent="0.4">
      <c r="A25" s="27" t="s">
        <v>119</v>
      </c>
      <c r="B25" s="53"/>
      <c r="C25" s="53"/>
      <c r="D25" s="29" t="s">
        <v>124</v>
      </c>
      <c r="E25" s="126" t="s">
        <v>150</v>
      </c>
      <c r="F25" s="43"/>
      <c r="G25" s="54"/>
      <c r="H25" s="55" t="s">
        <v>16</v>
      </c>
      <c r="I25" s="26"/>
      <c r="J25" s="1"/>
      <c r="K25" s="6">
        <f t="shared" si="0"/>
        <v>50</v>
      </c>
      <c r="L25" s="1"/>
      <c r="AA25" s="2">
        <f>(EXP(-0.5*((E8-H21)/((C8-G8)/2))^2)/SQRT(2*PI()))*(0.43618*(K33^(-1))-0.1202*(K33^(-2))+0.9373*(K33^(-3)))</f>
        <v>0.32707747359154116</v>
      </c>
      <c r="AB25" s="19"/>
      <c r="AC25" s="19"/>
      <c r="AD25" s="19"/>
      <c r="AE25" s="19"/>
      <c r="AF25" s="19"/>
      <c r="AG25" s="19"/>
      <c r="AH25" s="19"/>
    </row>
    <row r="26" spans="1:34" ht="15.45" x14ac:dyDescent="0.4">
      <c r="A26" s="37"/>
      <c r="B26" s="56"/>
      <c r="C26" s="56"/>
      <c r="D26" s="37"/>
      <c r="E26" s="37"/>
      <c r="F26" s="37"/>
      <c r="G26" s="37"/>
      <c r="H26" s="37"/>
      <c r="I26" s="26"/>
      <c r="J26" s="1"/>
      <c r="K26" s="6">
        <f t="shared" si="0"/>
        <v>0</v>
      </c>
      <c r="L26" s="1"/>
      <c r="AA26" s="3">
        <f>H30</f>
        <v>112.5</v>
      </c>
      <c r="AB26" s="19"/>
      <c r="AC26" s="19"/>
      <c r="AD26" s="19"/>
      <c r="AE26" s="19"/>
      <c r="AF26" s="19"/>
      <c r="AG26" s="19"/>
      <c r="AH26" s="19"/>
    </row>
    <row r="27" spans="1:34" ht="15.45" x14ac:dyDescent="0.4">
      <c r="A27" s="32"/>
      <c r="B27" s="34"/>
      <c r="C27" s="34"/>
      <c r="D27" s="45" t="s">
        <v>17</v>
      </c>
      <c r="E27" s="45" t="s">
        <v>18</v>
      </c>
      <c r="F27" s="45" t="s">
        <v>19</v>
      </c>
      <c r="G27" s="45" t="s">
        <v>20</v>
      </c>
      <c r="H27" s="57" t="s">
        <v>21</v>
      </c>
      <c r="I27" s="26"/>
      <c r="J27" s="1"/>
      <c r="K27" s="6">
        <f t="shared" si="0"/>
        <v>81.706920269976052</v>
      </c>
      <c r="L27" s="1"/>
      <c r="AA27" s="3">
        <f>SUM(H32:H34)</f>
        <v>50</v>
      </c>
      <c r="AB27" s="19"/>
      <c r="AC27" s="19"/>
      <c r="AD27" s="19"/>
      <c r="AE27" s="19"/>
      <c r="AF27" s="19"/>
      <c r="AG27" s="19"/>
      <c r="AH27" s="19"/>
    </row>
    <row r="28" spans="1:34" ht="15.45" x14ac:dyDescent="0.4">
      <c r="A28" s="58" t="s">
        <v>22</v>
      </c>
      <c r="B28" s="59"/>
      <c r="C28" s="59"/>
      <c r="D28" s="60" t="s">
        <v>23</v>
      </c>
      <c r="E28" s="60" t="s">
        <v>24</v>
      </c>
      <c r="F28" s="60" t="s">
        <v>25</v>
      </c>
      <c r="G28" s="45" t="s">
        <v>26</v>
      </c>
      <c r="H28" s="57" t="s">
        <v>26</v>
      </c>
      <c r="I28" s="26"/>
      <c r="J28" s="1"/>
      <c r="K28" s="6">
        <f t="shared" si="0"/>
        <v>1.7069453516220334</v>
      </c>
      <c r="L28" s="1"/>
      <c r="AA28" s="3">
        <f>H31+SUM(H38:H43)</f>
        <v>0</v>
      </c>
      <c r="AB28" s="19"/>
      <c r="AC28" s="19"/>
      <c r="AD28" s="19"/>
      <c r="AE28" s="19"/>
      <c r="AF28" s="19"/>
      <c r="AG28" s="19"/>
      <c r="AH28" s="19"/>
    </row>
    <row r="29" spans="1:34" ht="15.45" x14ac:dyDescent="0.4">
      <c r="A29" s="58" t="s">
        <v>27</v>
      </c>
      <c r="B29" s="59"/>
      <c r="C29" s="59"/>
      <c r="D29" s="59"/>
      <c r="E29" s="59"/>
      <c r="F29" s="59"/>
      <c r="G29" s="34"/>
      <c r="H29" s="42"/>
      <c r="I29" s="26"/>
      <c r="J29" s="1"/>
      <c r="K29" s="6">
        <f t="shared" si="0"/>
        <v>0</v>
      </c>
      <c r="L29" s="1"/>
      <c r="AA29" s="3">
        <f>SUM(H48:H50)+H55+H53+H44+H45</f>
        <v>81.706920269976052</v>
      </c>
      <c r="AB29" s="19"/>
      <c r="AC29" s="19"/>
      <c r="AD29" s="19"/>
      <c r="AE29" s="19"/>
      <c r="AF29" s="19"/>
      <c r="AG29" s="19"/>
      <c r="AH29" s="19"/>
    </row>
    <row r="30" spans="1:34" ht="15.45" x14ac:dyDescent="0.4">
      <c r="A30" s="58" t="s">
        <v>28</v>
      </c>
      <c r="B30" s="59"/>
      <c r="C30" s="59"/>
      <c r="D30" s="33" t="s">
        <v>29</v>
      </c>
      <c r="E30" s="33">
        <v>64</v>
      </c>
      <c r="F30" s="41">
        <v>1.7578125</v>
      </c>
      <c r="G30" s="61">
        <f>AA32</f>
        <v>112.5</v>
      </c>
      <c r="H30" s="62">
        <f>AA33</f>
        <v>112.5</v>
      </c>
      <c r="I30" s="26"/>
      <c r="J30" s="4"/>
      <c r="K30" s="4"/>
      <c r="L30" s="1"/>
      <c r="AA30" s="3">
        <f>H52</f>
        <v>1.7069453516220334</v>
      </c>
      <c r="AB30" s="19"/>
      <c r="AC30" s="19"/>
      <c r="AD30" s="19"/>
      <c r="AE30" s="19"/>
      <c r="AF30" s="19"/>
      <c r="AG30" s="19"/>
      <c r="AH30" s="19"/>
    </row>
    <row r="31" spans="1:34" ht="15.45" x14ac:dyDescent="0.4">
      <c r="A31" s="58" t="s">
        <v>30</v>
      </c>
      <c r="B31" s="59"/>
      <c r="C31" s="59"/>
      <c r="D31" s="33" t="s">
        <v>29</v>
      </c>
      <c r="E31" s="33">
        <v>0</v>
      </c>
      <c r="F31" s="41">
        <v>0</v>
      </c>
      <c r="G31" s="61">
        <f>AA34</f>
        <v>0</v>
      </c>
      <c r="H31" s="62">
        <f>AA35</f>
        <v>0</v>
      </c>
      <c r="I31" s="26"/>
      <c r="J31" s="1"/>
      <c r="K31" s="1"/>
      <c r="L31" s="1"/>
      <c r="AA31" s="3">
        <f>H46+H47</f>
        <v>0</v>
      </c>
      <c r="AB31" s="19"/>
      <c r="AC31" s="19"/>
      <c r="AD31" s="19"/>
      <c r="AE31" s="19"/>
      <c r="AF31" s="19"/>
      <c r="AG31" s="19"/>
      <c r="AH31" s="19"/>
    </row>
    <row r="32" spans="1:34" ht="15.45" x14ac:dyDescent="0.4">
      <c r="A32" s="58" t="s">
        <v>117</v>
      </c>
      <c r="B32" s="63" t="s">
        <v>114</v>
      </c>
      <c r="C32" s="33" t="s">
        <v>156</v>
      </c>
      <c r="D32" s="33" t="s">
        <v>125</v>
      </c>
      <c r="E32" s="33">
        <v>1</v>
      </c>
      <c r="F32" s="64">
        <v>50</v>
      </c>
      <c r="G32" s="61">
        <f>AA36</f>
        <v>50</v>
      </c>
      <c r="H32" s="62">
        <f>AA37</f>
        <v>50</v>
      </c>
      <c r="I32" s="26"/>
      <c r="J32" s="7" t="s">
        <v>31</v>
      </c>
      <c r="K32" s="5">
        <f>AA38</f>
        <v>1.7822621100485971</v>
      </c>
      <c r="L32" s="1"/>
      <c r="AA32" s="2">
        <f>F30*E30</f>
        <v>112.5</v>
      </c>
      <c r="AB32" s="19"/>
      <c r="AC32" s="19"/>
      <c r="AD32" s="19"/>
      <c r="AE32" s="19"/>
      <c r="AF32" s="19"/>
      <c r="AG32" s="19"/>
      <c r="AH32" s="19"/>
    </row>
    <row r="33" spans="1:34" ht="15.45" x14ac:dyDescent="0.4">
      <c r="A33" s="65"/>
      <c r="B33" s="66" t="s">
        <v>115</v>
      </c>
      <c r="C33" s="67"/>
      <c r="D33" s="33" t="s">
        <v>29</v>
      </c>
      <c r="E33" s="33">
        <v>0</v>
      </c>
      <c r="F33" s="64">
        <v>0</v>
      </c>
      <c r="G33" s="61">
        <f>AA39</f>
        <v>0</v>
      </c>
      <c r="H33" s="62">
        <f>AA40</f>
        <v>0</v>
      </c>
      <c r="I33" s="26"/>
      <c r="J33" s="7" t="s">
        <v>32</v>
      </c>
      <c r="K33" s="5">
        <f>AA41</f>
        <v>1.1490361600000001</v>
      </c>
      <c r="L33" s="1"/>
      <c r="AA33" s="2">
        <f>G30*D4</f>
        <v>112.5</v>
      </c>
      <c r="AB33" s="19"/>
      <c r="AC33" s="19"/>
      <c r="AD33" s="19"/>
      <c r="AE33" s="19"/>
      <c r="AF33" s="19"/>
      <c r="AG33" s="19"/>
      <c r="AH33" s="19"/>
    </row>
    <row r="34" spans="1:34" ht="15.45" x14ac:dyDescent="0.4">
      <c r="A34" s="65"/>
      <c r="B34" s="66" t="s">
        <v>116</v>
      </c>
      <c r="C34" s="67" t="s">
        <v>33</v>
      </c>
      <c r="D34" s="33" t="s">
        <v>29</v>
      </c>
      <c r="E34" s="33">
        <v>0</v>
      </c>
      <c r="F34" s="64">
        <v>0</v>
      </c>
      <c r="G34" s="61">
        <f>AA42</f>
        <v>0</v>
      </c>
      <c r="H34" s="62">
        <f>AA43</f>
        <v>0</v>
      </c>
      <c r="I34" s="26"/>
      <c r="J34" s="4"/>
      <c r="K34" s="6">
        <f>AA44</f>
        <v>9.75</v>
      </c>
      <c r="L34" s="1"/>
      <c r="AA34" s="2">
        <f>F31*E31</f>
        <v>0</v>
      </c>
      <c r="AB34" s="19"/>
      <c r="AC34" s="19"/>
      <c r="AD34" s="19"/>
      <c r="AE34" s="19"/>
      <c r="AF34" s="19"/>
      <c r="AG34" s="19"/>
      <c r="AH34" s="19"/>
    </row>
    <row r="35" spans="1:34" ht="15.45" x14ac:dyDescent="0.4">
      <c r="A35" s="68"/>
      <c r="B35" s="59"/>
      <c r="C35" s="59"/>
      <c r="D35" s="59"/>
      <c r="E35" s="59"/>
      <c r="F35" s="69"/>
      <c r="G35" s="54"/>
      <c r="H35" s="70"/>
      <c r="I35" s="26"/>
      <c r="J35" s="1"/>
      <c r="K35" s="6">
        <f>AA45</f>
        <v>19.95</v>
      </c>
      <c r="L35" s="1"/>
      <c r="AA35" s="2">
        <f>G31*D4</f>
        <v>0</v>
      </c>
      <c r="AB35" s="19"/>
      <c r="AC35" s="19"/>
      <c r="AD35" s="19"/>
      <c r="AE35" s="19"/>
      <c r="AF35" s="19"/>
      <c r="AG35" s="19"/>
      <c r="AH35" s="19"/>
    </row>
    <row r="36" spans="1:34" ht="15.45" x14ac:dyDescent="0.4">
      <c r="A36" s="65"/>
      <c r="B36" s="59"/>
      <c r="C36" s="59"/>
      <c r="D36" s="60" t="s">
        <v>17</v>
      </c>
      <c r="E36" s="60" t="s">
        <v>18</v>
      </c>
      <c r="F36" s="60" t="s">
        <v>19</v>
      </c>
      <c r="G36" s="45" t="s">
        <v>20</v>
      </c>
      <c r="H36" s="57" t="s">
        <v>21</v>
      </c>
      <c r="I36" s="26"/>
      <c r="J36" s="1"/>
      <c r="K36" s="1"/>
      <c r="L36" s="1"/>
      <c r="AA36" s="2">
        <f>F32*E32</f>
        <v>50</v>
      </c>
      <c r="AB36" s="19"/>
      <c r="AC36" s="19"/>
      <c r="AD36" s="19"/>
      <c r="AE36" s="19"/>
      <c r="AF36" s="19"/>
      <c r="AG36" s="19"/>
      <c r="AH36" s="19"/>
    </row>
    <row r="37" spans="1:34" ht="15.45" x14ac:dyDescent="0.4">
      <c r="A37" s="58" t="s">
        <v>34</v>
      </c>
      <c r="B37" s="59"/>
      <c r="C37" s="59"/>
      <c r="D37" s="60" t="s">
        <v>23</v>
      </c>
      <c r="E37" s="60" t="s">
        <v>24</v>
      </c>
      <c r="F37" s="60" t="s">
        <v>25</v>
      </c>
      <c r="G37" s="45" t="s">
        <v>26</v>
      </c>
      <c r="H37" s="57" t="s">
        <v>26</v>
      </c>
      <c r="I37" s="26"/>
      <c r="J37" s="1"/>
      <c r="K37" s="1"/>
      <c r="L37" s="1"/>
      <c r="AA37" s="2">
        <f>G32*D4</f>
        <v>50</v>
      </c>
      <c r="AB37" s="19"/>
      <c r="AC37" s="19"/>
      <c r="AD37" s="19"/>
      <c r="AE37" s="19"/>
      <c r="AF37" s="19"/>
      <c r="AG37" s="19"/>
      <c r="AH37" s="19"/>
    </row>
    <row r="38" spans="1:34" ht="15.45" x14ac:dyDescent="0.4">
      <c r="A38" s="58" t="s">
        <v>35</v>
      </c>
      <c r="B38" s="59"/>
      <c r="C38" s="59"/>
      <c r="D38" s="33" t="s">
        <v>36</v>
      </c>
      <c r="E38" s="33">
        <v>0</v>
      </c>
      <c r="F38" s="41">
        <v>0</v>
      </c>
      <c r="G38" s="61">
        <f>AA46</f>
        <v>0</v>
      </c>
      <c r="H38" s="62">
        <f>AA47</f>
        <v>0</v>
      </c>
      <c r="I38" s="26"/>
      <c r="J38" s="1"/>
      <c r="K38" s="1"/>
      <c r="L38" s="1"/>
      <c r="AA38" s="2">
        <f>(1+0.33267*((E9-D20)/((C9-G9)/2)))</f>
        <v>1.7822621100485971</v>
      </c>
      <c r="AB38" s="19"/>
      <c r="AC38" s="19"/>
      <c r="AD38" s="19"/>
      <c r="AE38" s="19"/>
      <c r="AF38" s="19"/>
      <c r="AG38" s="19"/>
      <c r="AH38" s="19"/>
    </row>
    <row r="39" spans="1:34" ht="15.45" x14ac:dyDescent="0.4">
      <c r="A39" s="58" t="s">
        <v>37</v>
      </c>
      <c r="B39" s="59"/>
      <c r="C39" s="59"/>
      <c r="D39" s="33" t="s">
        <v>36</v>
      </c>
      <c r="E39" s="33">
        <v>0</v>
      </c>
      <c r="F39" s="41">
        <v>0</v>
      </c>
      <c r="G39" s="61">
        <f>AA48</f>
        <v>0</v>
      </c>
      <c r="H39" s="62">
        <f>AA49</f>
        <v>0</v>
      </c>
      <c r="I39" s="26"/>
      <c r="J39" s="1"/>
      <c r="K39" s="1"/>
      <c r="L39" s="1"/>
      <c r="AA39" s="2">
        <f>F33*E33</f>
        <v>0</v>
      </c>
      <c r="AB39" s="19"/>
      <c r="AC39" s="19"/>
      <c r="AD39" s="19"/>
      <c r="AE39" s="19"/>
      <c r="AF39" s="19"/>
      <c r="AG39" s="19"/>
      <c r="AH39" s="19"/>
    </row>
    <row r="40" spans="1:34" ht="15.45" x14ac:dyDescent="0.4">
      <c r="A40" s="58" t="s">
        <v>38</v>
      </c>
      <c r="B40" s="59"/>
      <c r="C40" s="59"/>
      <c r="D40" s="33" t="s">
        <v>36</v>
      </c>
      <c r="E40" s="33">
        <v>0</v>
      </c>
      <c r="F40" s="41">
        <v>0</v>
      </c>
      <c r="G40" s="61">
        <f>AA50</f>
        <v>0</v>
      </c>
      <c r="H40" s="62">
        <f>AA51</f>
        <v>0</v>
      </c>
      <c r="I40" s="26"/>
      <c r="J40" s="1"/>
      <c r="K40" s="1"/>
      <c r="L40" s="1"/>
      <c r="AA40" s="2">
        <f>G33*D4</f>
        <v>0</v>
      </c>
      <c r="AB40" s="19"/>
      <c r="AC40" s="19"/>
      <c r="AD40" s="19"/>
      <c r="AE40" s="19"/>
      <c r="AF40" s="19"/>
      <c r="AG40" s="19"/>
      <c r="AH40" s="19"/>
    </row>
    <row r="41" spans="1:34" ht="15.45" x14ac:dyDescent="0.4">
      <c r="A41" s="58" t="s">
        <v>39</v>
      </c>
      <c r="B41" s="59"/>
      <c r="C41" s="59"/>
      <c r="D41" s="33" t="s">
        <v>36</v>
      </c>
      <c r="E41" s="33">
        <v>0</v>
      </c>
      <c r="F41" s="41">
        <v>0</v>
      </c>
      <c r="G41" s="61">
        <f>AA52</f>
        <v>0</v>
      </c>
      <c r="H41" s="62">
        <f>AA53</f>
        <v>0</v>
      </c>
      <c r="I41" s="26"/>
      <c r="J41" s="1"/>
      <c r="K41" s="1"/>
      <c r="L41" s="1"/>
      <c r="AA41" s="2">
        <f>(1+0.33267*((E8-H21)/((C8-G8)/2)))</f>
        <v>1.1490361600000001</v>
      </c>
      <c r="AB41" s="19"/>
      <c r="AC41" s="19"/>
      <c r="AD41" s="19"/>
      <c r="AE41" s="19"/>
      <c r="AF41" s="19"/>
      <c r="AG41" s="19"/>
      <c r="AH41" s="19"/>
    </row>
    <row r="42" spans="1:34" ht="15.45" x14ac:dyDescent="0.4">
      <c r="A42" s="58" t="s">
        <v>40</v>
      </c>
      <c r="B42" s="59"/>
      <c r="C42" s="59"/>
      <c r="D42" s="33" t="s">
        <v>36</v>
      </c>
      <c r="E42" s="33">
        <v>0</v>
      </c>
      <c r="F42" s="41">
        <v>0</v>
      </c>
      <c r="G42" s="61">
        <f>AA54</f>
        <v>0</v>
      </c>
      <c r="H42" s="62">
        <f>AA55</f>
        <v>0</v>
      </c>
      <c r="I42" s="71"/>
      <c r="J42" s="8"/>
      <c r="K42" s="8"/>
      <c r="L42" s="1"/>
      <c r="AA42" s="2">
        <f>F34*E34</f>
        <v>0</v>
      </c>
      <c r="AB42" s="19"/>
      <c r="AC42" s="19"/>
      <c r="AD42" s="19"/>
      <c r="AE42" s="19"/>
      <c r="AF42" s="19"/>
      <c r="AG42" s="19"/>
      <c r="AH42" s="19"/>
    </row>
    <row r="43" spans="1:34" ht="15.45" x14ac:dyDescent="0.4">
      <c r="A43" s="58" t="s">
        <v>41</v>
      </c>
      <c r="B43" s="59"/>
      <c r="C43" s="59"/>
      <c r="D43" s="33" t="s">
        <v>33</v>
      </c>
      <c r="E43" s="33">
        <v>0</v>
      </c>
      <c r="F43" s="33">
        <v>0</v>
      </c>
      <c r="G43" s="61">
        <f>AA56</f>
        <v>0</v>
      </c>
      <c r="H43" s="62">
        <f>AA57</f>
        <v>0</v>
      </c>
      <c r="I43" s="26"/>
      <c r="J43" s="1"/>
      <c r="K43" s="1"/>
      <c r="L43" s="1"/>
      <c r="AA43" s="2">
        <f>G34*D4</f>
        <v>0</v>
      </c>
      <c r="AB43" s="19"/>
      <c r="AC43" s="19"/>
      <c r="AD43" s="19"/>
      <c r="AE43" s="19"/>
      <c r="AF43" s="19"/>
      <c r="AG43" s="19"/>
      <c r="AH43" s="19"/>
    </row>
    <row r="44" spans="1:34" ht="15.45" x14ac:dyDescent="0.4">
      <c r="A44" s="58" t="s">
        <v>42</v>
      </c>
      <c r="B44" s="59"/>
      <c r="C44" s="59"/>
      <c r="D44" s="33" t="s">
        <v>43</v>
      </c>
      <c r="E44" s="60">
        <f>AA61</f>
        <v>1</v>
      </c>
      <c r="F44" s="72">
        <f>AA58</f>
        <v>9.75</v>
      </c>
      <c r="G44" s="61">
        <f>AA59</f>
        <v>9.75</v>
      </c>
      <c r="H44" s="62">
        <f>AA60</f>
        <v>9.75</v>
      </c>
      <c r="I44" s="26"/>
      <c r="J44" s="1"/>
      <c r="K44" s="1"/>
      <c r="L44" s="1"/>
      <c r="AA44" s="3">
        <f>H44</f>
        <v>9.75</v>
      </c>
      <c r="AB44" s="19"/>
      <c r="AC44" s="19"/>
      <c r="AD44" s="19"/>
      <c r="AE44" s="19"/>
      <c r="AF44" s="19"/>
      <c r="AG44" s="19"/>
      <c r="AH44" s="19"/>
    </row>
    <row r="45" spans="1:34" ht="15.45" x14ac:dyDescent="0.4">
      <c r="A45" s="58" t="s">
        <v>120</v>
      </c>
      <c r="B45" s="59"/>
      <c r="C45" s="59"/>
      <c r="D45" s="67"/>
      <c r="E45" s="33">
        <v>1</v>
      </c>
      <c r="F45" s="33">
        <v>10.199999999999999</v>
      </c>
      <c r="G45" s="61">
        <f>AA63</f>
        <v>10.199999999999999</v>
      </c>
      <c r="H45" s="62">
        <f>AA64</f>
        <v>10.199999999999999</v>
      </c>
      <c r="I45" s="26"/>
      <c r="J45" s="1"/>
      <c r="K45" s="1"/>
      <c r="L45" s="1"/>
      <c r="AA45" s="3">
        <f>K34+H45</f>
        <v>19.95</v>
      </c>
      <c r="AB45" s="19"/>
      <c r="AC45" s="19"/>
      <c r="AD45" s="19"/>
      <c r="AE45" s="19"/>
      <c r="AF45" s="19"/>
      <c r="AG45" s="19"/>
      <c r="AH45" s="19"/>
    </row>
    <row r="46" spans="1:34" ht="15.45" x14ac:dyDescent="0.4">
      <c r="A46" s="58" t="s">
        <v>44</v>
      </c>
      <c r="B46" s="59"/>
      <c r="C46" s="73" t="s">
        <v>144</v>
      </c>
      <c r="D46" s="74"/>
      <c r="E46" s="33">
        <v>0</v>
      </c>
      <c r="F46" s="41">
        <v>17</v>
      </c>
      <c r="G46" s="61">
        <f>AA65</f>
        <v>0</v>
      </c>
      <c r="H46" s="62">
        <f>AA66</f>
        <v>0</v>
      </c>
      <c r="I46" s="71"/>
      <c r="J46" s="8"/>
      <c r="K46" s="8"/>
      <c r="L46" s="1"/>
      <c r="AA46" s="2">
        <f>F38*E38</f>
        <v>0</v>
      </c>
      <c r="AB46" s="20"/>
      <c r="AC46" s="19"/>
      <c r="AD46" s="19"/>
      <c r="AE46" s="19"/>
      <c r="AF46" s="19"/>
      <c r="AG46" s="19"/>
      <c r="AH46" s="19"/>
    </row>
    <row r="47" spans="1:34" ht="15.45" x14ac:dyDescent="0.4">
      <c r="A47" s="58" t="s">
        <v>45</v>
      </c>
      <c r="B47" s="59"/>
      <c r="C47" s="73" t="s">
        <v>145</v>
      </c>
      <c r="D47" s="74"/>
      <c r="E47" s="33">
        <v>0</v>
      </c>
      <c r="F47" s="41">
        <v>0</v>
      </c>
      <c r="G47" s="61">
        <f>AA67</f>
        <v>0</v>
      </c>
      <c r="H47" s="62">
        <f>AA68</f>
        <v>0</v>
      </c>
      <c r="I47" s="26"/>
      <c r="J47" s="1"/>
      <c r="K47" s="4"/>
      <c r="L47" s="1"/>
      <c r="AA47" s="2">
        <f>G38*D4</f>
        <v>0</v>
      </c>
      <c r="AB47" s="19"/>
      <c r="AC47" s="19"/>
      <c r="AD47" s="19"/>
      <c r="AE47" s="19"/>
      <c r="AF47" s="19"/>
      <c r="AG47" s="19"/>
      <c r="AH47" s="19"/>
    </row>
    <row r="48" spans="1:34" ht="15.45" x14ac:dyDescent="0.4">
      <c r="A48" s="58" t="s">
        <v>46</v>
      </c>
      <c r="B48" s="59"/>
      <c r="C48" s="59"/>
      <c r="D48" s="33" t="s">
        <v>47</v>
      </c>
      <c r="E48" s="72">
        <f>AA69</f>
        <v>1.3411713477030265</v>
      </c>
      <c r="F48" s="33">
        <v>0</v>
      </c>
      <c r="G48" s="61">
        <f>AA70</f>
        <v>0</v>
      </c>
      <c r="H48" s="62">
        <f>AA71</f>
        <v>0</v>
      </c>
      <c r="I48" s="26"/>
      <c r="J48" s="1"/>
      <c r="K48" s="4"/>
      <c r="L48" s="1"/>
      <c r="AA48" s="2">
        <f>F39*E39</f>
        <v>0</v>
      </c>
      <c r="AB48" s="19"/>
      <c r="AC48" s="19"/>
      <c r="AD48" s="19"/>
      <c r="AE48" s="19"/>
      <c r="AF48" s="19"/>
      <c r="AG48" s="19"/>
      <c r="AH48" s="19"/>
    </row>
    <row r="49" spans="1:34" ht="15.45" x14ac:dyDescent="0.4">
      <c r="A49" s="58" t="s">
        <v>48</v>
      </c>
      <c r="B49" s="59"/>
      <c r="C49" s="59"/>
      <c r="D49" s="33" t="s">
        <v>47</v>
      </c>
      <c r="E49" s="33">
        <v>1.22</v>
      </c>
      <c r="F49" s="41">
        <v>7.38</v>
      </c>
      <c r="G49" s="61">
        <f>AA72</f>
        <v>9.0036000000000005</v>
      </c>
      <c r="H49" s="62">
        <f>AA73</f>
        <v>9.0036000000000005</v>
      </c>
      <c r="I49" s="26"/>
      <c r="J49" s="1"/>
      <c r="K49" s="4"/>
      <c r="L49" s="1"/>
      <c r="AA49" s="2">
        <f>G39*D4</f>
        <v>0</v>
      </c>
      <c r="AB49" s="19"/>
      <c r="AC49" s="19"/>
      <c r="AD49" s="19"/>
      <c r="AE49" s="19"/>
      <c r="AF49" s="19"/>
      <c r="AG49" s="19"/>
      <c r="AH49" s="19"/>
    </row>
    <row r="50" spans="1:34" ht="15.45" x14ac:dyDescent="0.4">
      <c r="A50" s="58" t="s">
        <v>49</v>
      </c>
      <c r="B50" s="59"/>
      <c r="C50" s="59"/>
      <c r="D50" s="33" t="s">
        <v>47</v>
      </c>
      <c r="E50" s="72">
        <f>AA74</f>
        <v>1.2192466797300239</v>
      </c>
      <c r="F50" s="41">
        <v>10.46</v>
      </c>
      <c r="G50" s="61">
        <f>AA75</f>
        <v>12.753320269976051</v>
      </c>
      <c r="H50" s="62">
        <f>AA76</f>
        <v>12.753320269976051</v>
      </c>
      <c r="I50" s="26"/>
      <c r="J50" s="1"/>
      <c r="K50" s="4"/>
      <c r="L50" s="1"/>
      <c r="AA50" s="2">
        <f>F40*E40</f>
        <v>0</v>
      </c>
      <c r="AB50" s="19"/>
      <c r="AC50" s="19"/>
      <c r="AD50" s="19"/>
      <c r="AE50" s="19"/>
      <c r="AF50" s="19"/>
      <c r="AG50" s="19"/>
      <c r="AH50" s="19"/>
    </row>
    <row r="51" spans="1:34" ht="15.45" x14ac:dyDescent="0.4">
      <c r="A51" s="65"/>
      <c r="B51" s="59"/>
      <c r="C51" s="59"/>
      <c r="D51" s="59"/>
      <c r="E51" s="59"/>
      <c r="F51" s="59"/>
      <c r="G51" s="28"/>
      <c r="H51" s="36"/>
      <c r="I51" s="26"/>
      <c r="J51" s="1"/>
      <c r="K51" s="4"/>
      <c r="L51" s="1"/>
      <c r="AA51" s="2">
        <f>G40*D4</f>
        <v>0</v>
      </c>
      <c r="AB51" s="19"/>
      <c r="AC51" s="19"/>
      <c r="AD51" s="19"/>
      <c r="AE51" s="19"/>
      <c r="AF51" s="19"/>
      <c r="AG51" s="19"/>
      <c r="AH51" s="19"/>
    </row>
    <row r="52" spans="1:34" ht="15.45" x14ac:dyDescent="0.4">
      <c r="A52" s="58" t="s">
        <v>50</v>
      </c>
      <c r="B52" s="59"/>
      <c r="C52" s="59"/>
      <c r="D52" s="33" t="s">
        <v>47</v>
      </c>
      <c r="E52" s="72">
        <f>AA74</f>
        <v>1.2192466797300239</v>
      </c>
      <c r="F52" s="41">
        <v>1.4</v>
      </c>
      <c r="G52" s="61">
        <f>AA78</f>
        <v>1.7069453516220334</v>
      </c>
      <c r="H52" s="62">
        <f>AA79</f>
        <v>1.7069453516220334</v>
      </c>
      <c r="I52" s="26"/>
      <c r="J52" s="1"/>
      <c r="K52" s="4"/>
      <c r="L52" s="1"/>
      <c r="AA52" s="2">
        <f>F41*E41</f>
        <v>0</v>
      </c>
      <c r="AB52" s="19"/>
      <c r="AC52" s="19"/>
      <c r="AD52" s="19"/>
      <c r="AE52" s="19"/>
      <c r="AF52" s="19"/>
      <c r="AG52" s="19"/>
      <c r="AH52" s="19"/>
    </row>
    <row r="53" spans="1:34" ht="15.45" x14ac:dyDescent="0.4">
      <c r="A53" s="58" t="s">
        <v>51</v>
      </c>
      <c r="B53" s="59"/>
      <c r="C53" s="59"/>
      <c r="D53" s="33" t="s">
        <v>52</v>
      </c>
      <c r="E53" s="33">
        <v>0</v>
      </c>
      <c r="F53" s="41">
        <v>0.109</v>
      </c>
      <c r="G53" s="61">
        <f>AA81</f>
        <v>0</v>
      </c>
      <c r="H53" s="62">
        <f>AA82</f>
        <v>0</v>
      </c>
      <c r="I53" s="26"/>
      <c r="J53" s="1"/>
      <c r="K53" s="4"/>
      <c r="L53" s="1"/>
      <c r="AA53" s="2">
        <f>G41*D4</f>
        <v>0</v>
      </c>
      <c r="AB53" s="19"/>
      <c r="AC53" s="19"/>
      <c r="AD53" s="19"/>
      <c r="AE53" s="19"/>
      <c r="AF53" s="19"/>
      <c r="AG53" s="19"/>
      <c r="AH53" s="19"/>
    </row>
    <row r="54" spans="1:34" ht="15.45" x14ac:dyDescent="0.4">
      <c r="A54" s="58" t="s">
        <v>128</v>
      </c>
      <c r="B54" s="59"/>
      <c r="C54" s="59"/>
      <c r="D54" s="75"/>
      <c r="E54" s="33">
        <v>1</v>
      </c>
      <c r="F54" s="41">
        <v>3.35</v>
      </c>
      <c r="G54" s="61">
        <f>AA83</f>
        <v>3.35</v>
      </c>
      <c r="H54" s="62">
        <f>AA84</f>
        <v>3.35</v>
      </c>
      <c r="I54" s="26"/>
      <c r="J54" s="1"/>
      <c r="K54" s="4"/>
      <c r="L54" s="1"/>
      <c r="AA54" s="2">
        <f>F42*E42</f>
        <v>0</v>
      </c>
      <c r="AB54" s="19"/>
      <c r="AC54" s="19"/>
      <c r="AD54" s="19"/>
      <c r="AE54" s="19"/>
      <c r="AF54" s="19"/>
      <c r="AG54" s="19"/>
      <c r="AH54" s="19"/>
    </row>
    <row r="55" spans="1:34" ht="15.45" x14ac:dyDescent="0.4">
      <c r="A55" s="58" t="s">
        <v>53</v>
      </c>
      <c r="B55" s="76" t="s">
        <v>126</v>
      </c>
      <c r="C55" s="77"/>
      <c r="D55" s="74"/>
      <c r="E55" s="33">
        <v>1</v>
      </c>
      <c r="F55" s="41">
        <v>40</v>
      </c>
      <c r="G55" s="61">
        <f>AA85</f>
        <v>40</v>
      </c>
      <c r="H55" s="62">
        <f>AA86</f>
        <v>40</v>
      </c>
      <c r="I55" s="26"/>
      <c r="J55" s="1"/>
      <c r="K55" s="4"/>
      <c r="L55" s="1"/>
      <c r="AA55" s="2">
        <f>G42*D4</f>
        <v>0</v>
      </c>
      <c r="AB55" s="19"/>
      <c r="AC55" s="19"/>
      <c r="AD55" s="19"/>
      <c r="AE55" s="19"/>
      <c r="AF55" s="19"/>
      <c r="AG55" s="19"/>
      <c r="AH55" s="19"/>
    </row>
    <row r="56" spans="1:34" ht="15.45" x14ac:dyDescent="0.4">
      <c r="A56" s="65"/>
      <c r="B56" s="59"/>
      <c r="C56" s="59"/>
      <c r="D56" s="59"/>
      <c r="E56" s="59"/>
      <c r="F56" s="78"/>
      <c r="G56" s="54"/>
      <c r="H56" s="70"/>
      <c r="I56" s="26"/>
      <c r="J56" s="4"/>
      <c r="K56" s="4"/>
      <c r="L56" s="1"/>
      <c r="AA56" s="2">
        <f>F43*E43</f>
        <v>0</v>
      </c>
      <c r="AB56" s="19"/>
      <c r="AC56" s="19"/>
      <c r="AD56" s="19"/>
      <c r="AE56" s="19"/>
      <c r="AF56" s="19"/>
      <c r="AG56" s="19"/>
      <c r="AH56" s="19"/>
    </row>
    <row r="57" spans="1:34" ht="15.45" x14ac:dyDescent="0.4">
      <c r="A57" s="65"/>
      <c r="B57" s="59"/>
      <c r="C57" s="59"/>
      <c r="D57" s="59"/>
      <c r="E57" s="59"/>
      <c r="F57" s="59"/>
      <c r="G57" s="28"/>
      <c r="H57" s="79"/>
      <c r="I57" s="26"/>
      <c r="J57" s="4"/>
      <c r="K57" s="4"/>
      <c r="L57" s="1"/>
      <c r="AA57" s="2">
        <f>G43*D4</f>
        <v>0</v>
      </c>
      <c r="AB57" s="19"/>
      <c r="AC57" s="19"/>
      <c r="AD57" s="19"/>
      <c r="AE57" s="19"/>
      <c r="AF57" s="19"/>
      <c r="AG57" s="19"/>
      <c r="AH57" s="19"/>
    </row>
    <row r="58" spans="1:34" ht="15.45" x14ac:dyDescent="0.4">
      <c r="A58" s="65"/>
      <c r="B58" s="59"/>
      <c r="C58" s="59"/>
      <c r="D58" s="60" t="s">
        <v>54</v>
      </c>
      <c r="E58" s="80" t="s">
        <v>55</v>
      </c>
      <c r="F58" s="81"/>
      <c r="G58" s="54"/>
      <c r="H58" s="42"/>
      <c r="I58" s="26"/>
      <c r="J58" s="4"/>
      <c r="K58" s="4"/>
      <c r="L58" s="1"/>
      <c r="AA58" s="9">
        <f>H19</f>
        <v>9.75</v>
      </c>
      <c r="AB58" s="19"/>
      <c r="AC58" s="19"/>
      <c r="AD58" s="19"/>
      <c r="AE58" s="19"/>
      <c r="AF58" s="19"/>
      <c r="AG58" s="19"/>
      <c r="AH58" s="19"/>
    </row>
    <row r="59" spans="1:34" ht="15.45" x14ac:dyDescent="0.4">
      <c r="A59" s="65"/>
      <c r="B59" s="59"/>
      <c r="C59" s="59"/>
      <c r="D59" s="60" t="s">
        <v>56</v>
      </c>
      <c r="E59" s="80" t="s">
        <v>57</v>
      </c>
      <c r="F59" s="59"/>
      <c r="G59" s="45" t="s">
        <v>20</v>
      </c>
      <c r="H59" s="57" t="s">
        <v>21</v>
      </c>
      <c r="I59" s="26"/>
      <c r="J59" s="1"/>
      <c r="K59" s="7" t="s">
        <v>59</v>
      </c>
      <c r="L59" s="1"/>
      <c r="AA59" s="2">
        <f>F44*E44</f>
        <v>9.75</v>
      </c>
      <c r="AB59" s="19"/>
      <c r="AC59" s="19"/>
      <c r="AD59" s="19"/>
      <c r="AE59" s="19"/>
      <c r="AF59" s="19"/>
      <c r="AG59" s="19"/>
      <c r="AH59" s="19"/>
    </row>
    <row r="60" spans="1:34" ht="15.45" x14ac:dyDescent="0.4">
      <c r="A60" s="58" t="s">
        <v>58</v>
      </c>
      <c r="B60" s="59"/>
      <c r="C60" s="59"/>
      <c r="D60" s="33">
        <v>47.75</v>
      </c>
      <c r="E60" s="82">
        <f ca="1">AA87</f>
        <v>0</v>
      </c>
      <c r="F60" s="59"/>
      <c r="G60" s="61">
        <f ca="1">AA88</f>
        <v>47.75</v>
      </c>
      <c r="H60" s="62">
        <f ca="1">AA89</f>
        <v>47.75</v>
      </c>
      <c r="I60" s="26"/>
      <c r="J60" s="4"/>
      <c r="K60" s="7" t="s">
        <v>61</v>
      </c>
      <c r="L60" s="1"/>
      <c r="AA60" s="2">
        <f>G44*D4</f>
        <v>9.75</v>
      </c>
      <c r="AB60" s="19"/>
      <c r="AC60" s="19"/>
      <c r="AD60" s="19"/>
      <c r="AE60" s="19"/>
      <c r="AF60" s="19"/>
      <c r="AG60" s="19"/>
      <c r="AH60" s="19"/>
    </row>
    <row r="61" spans="1:34" ht="15.45" x14ac:dyDescent="0.4">
      <c r="A61" s="58" t="s">
        <v>60</v>
      </c>
      <c r="B61" s="59"/>
      <c r="C61" s="59"/>
      <c r="D61" s="33">
        <v>36.35</v>
      </c>
      <c r="E61" s="82">
        <f ca="1">AA90</f>
        <v>0</v>
      </c>
      <c r="F61" s="59"/>
      <c r="G61" s="61">
        <f ca="1">AA91</f>
        <v>36.35</v>
      </c>
      <c r="H61" s="62">
        <f ca="1">AA92</f>
        <v>36.35</v>
      </c>
      <c r="I61" s="26"/>
      <c r="J61" s="1"/>
      <c r="K61" s="7" t="s">
        <v>63</v>
      </c>
      <c r="L61" s="1"/>
      <c r="AA61" s="2">
        <f>IF(UPPER(LEFT(H25,1))="Y",1,0)</f>
        <v>1</v>
      </c>
      <c r="AB61" s="19"/>
      <c r="AC61" s="19"/>
      <c r="AD61" s="19"/>
      <c r="AE61" s="19"/>
      <c r="AF61" s="19"/>
      <c r="AG61" s="19"/>
      <c r="AH61" s="19"/>
    </row>
    <row r="62" spans="1:34" ht="15.45" x14ac:dyDescent="0.4">
      <c r="A62" s="58" t="s">
        <v>62</v>
      </c>
      <c r="B62" s="59"/>
      <c r="C62" s="59"/>
      <c r="D62" s="33">
        <v>0</v>
      </c>
      <c r="E62" s="82">
        <f ca="1">AA93</f>
        <v>0</v>
      </c>
      <c r="F62" s="59"/>
      <c r="G62" s="61">
        <f ca="1">AA94</f>
        <v>0</v>
      </c>
      <c r="H62" s="62">
        <f ca="1">AA95</f>
        <v>0</v>
      </c>
      <c r="I62" s="26"/>
      <c r="J62" s="1"/>
      <c r="K62" s="7" t="s">
        <v>64</v>
      </c>
      <c r="L62" s="1"/>
      <c r="AA62" s="9">
        <f>D19</f>
        <v>0.18395038958450277</v>
      </c>
      <c r="AB62" s="19"/>
      <c r="AC62" s="19"/>
      <c r="AD62" s="19"/>
      <c r="AE62" s="19"/>
      <c r="AF62" s="19"/>
      <c r="AG62" s="19"/>
      <c r="AH62" s="19"/>
    </row>
    <row r="63" spans="1:34" ht="15.45" x14ac:dyDescent="0.4">
      <c r="A63" s="58" t="s">
        <v>123</v>
      </c>
      <c r="B63" s="59"/>
      <c r="C63" s="59"/>
      <c r="D63" s="33">
        <v>18.2</v>
      </c>
      <c r="E63" s="82">
        <f ca="1">AA96</f>
        <v>0</v>
      </c>
      <c r="F63" s="59"/>
      <c r="G63" s="61">
        <f ca="1">AA97</f>
        <v>18.2</v>
      </c>
      <c r="H63" s="62">
        <f ca="1">AA98</f>
        <v>18.2</v>
      </c>
      <c r="I63" s="26"/>
      <c r="J63" s="1"/>
      <c r="K63" s="7" t="s">
        <v>66</v>
      </c>
      <c r="L63" s="1"/>
      <c r="AA63" s="2">
        <f>F45*E45</f>
        <v>10.199999999999999</v>
      </c>
      <c r="AB63" s="19"/>
      <c r="AC63" s="19"/>
      <c r="AD63" s="19"/>
      <c r="AE63" s="19"/>
      <c r="AF63" s="19"/>
      <c r="AG63" s="19"/>
      <c r="AH63" s="19"/>
    </row>
    <row r="64" spans="1:34" ht="15.45" x14ac:dyDescent="0.4">
      <c r="A64" s="83" t="s">
        <v>65</v>
      </c>
      <c r="B64" s="59"/>
      <c r="C64" s="59"/>
      <c r="D64" s="33">
        <v>0</v>
      </c>
      <c r="E64" s="82">
        <f ca="1">AA99</f>
        <v>0</v>
      </c>
      <c r="F64" s="78"/>
      <c r="G64" s="61">
        <f ca="1">AA100</f>
        <v>0</v>
      </c>
      <c r="H64" s="62">
        <f ca="1">AA101</f>
        <v>0</v>
      </c>
      <c r="I64" s="26"/>
      <c r="J64" s="4"/>
      <c r="K64" s="4"/>
      <c r="L64" s="1"/>
      <c r="AA64" s="2">
        <f>G45*D4</f>
        <v>10.199999999999999</v>
      </c>
      <c r="AB64" s="19"/>
      <c r="AC64" s="19"/>
      <c r="AD64" s="19"/>
      <c r="AE64" s="19"/>
      <c r="AF64" s="19"/>
      <c r="AG64" s="19"/>
      <c r="AH64" s="19"/>
    </row>
    <row r="65" spans="1:34" ht="15.45" x14ac:dyDescent="0.4">
      <c r="A65" s="65"/>
      <c r="B65" s="59"/>
      <c r="C65" s="59"/>
      <c r="D65" s="59"/>
      <c r="E65" s="84"/>
      <c r="F65" s="78"/>
      <c r="G65" s="54"/>
      <c r="H65" s="70"/>
      <c r="I65" s="26"/>
      <c r="J65" s="1"/>
      <c r="K65" s="4"/>
      <c r="L65" s="1"/>
      <c r="AA65" s="2">
        <f>F46*E46</f>
        <v>0</v>
      </c>
      <c r="AB65" s="19"/>
      <c r="AC65" s="19"/>
      <c r="AD65" s="19"/>
      <c r="AE65" s="19"/>
      <c r="AF65" s="19"/>
      <c r="AG65" s="19"/>
      <c r="AH65" s="19"/>
    </row>
    <row r="66" spans="1:34" ht="15.45" x14ac:dyDescent="0.4">
      <c r="A66" s="58" t="s">
        <v>67</v>
      </c>
      <c r="B66" s="59"/>
      <c r="C66" s="60" t="s">
        <v>68</v>
      </c>
      <c r="D66" s="60" t="s">
        <v>69</v>
      </c>
      <c r="E66" s="84"/>
      <c r="F66" s="78"/>
      <c r="G66" s="54"/>
      <c r="H66" s="70"/>
      <c r="I66" s="26"/>
      <c r="J66" s="5">
        <f ca="1">AA105</f>
        <v>19.252576416</v>
      </c>
      <c r="K66" s="7" t="s">
        <v>71</v>
      </c>
      <c r="L66" s="1"/>
      <c r="AA66" s="2">
        <f>G46*D4</f>
        <v>0</v>
      </c>
      <c r="AB66" s="19"/>
      <c r="AC66" s="19"/>
      <c r="AD66" s="19"/>
      <c r="AE66" s="19"/>
      <c r="AF66" s="19"/>
      <c r="AG66" s="19"/>
      <c r="AH66" s="19"/>
    </row>
    <row r="67" spans="1:34" ht="15.45" x14ac:dyDescent="0.4">
      <c r="A67" s="58" t="s">
        <v>70</v>
      </c>
      <c r="B67" s="59"/>
      <c r="C67" s="33">
        <v>6.95</v>
      </c>
      <c r="D67" s="33">
        <v>83</v>
      </c>
      <c r="E67" s="82">
        <f ca="1">AA102</f>
        <v>0</v>
      </c>
      <c r="F67" s="78"/>
      <c r="G67" s="61">
        <f ca="1">AA103</f>
        <v>19.252576416</v>
      </c>
      <c r="H67" s="62">
        <f ca="1">AA104</f>
        <v>19.252576416</v>
      </c>
      <c r="I67" s="26"/>
      <c r="J67" s="4"/>
      <c r="K67" s="4"/>
      <c r="L67" s="1"/>
      <c r="AA67" s="2">
        <f>F47*E47</f>
        <v>0</v>
      </c>
      <c r="AB67" s="19"/>
      <c r="AC67" s="19"/>
      <c r="AD67" s="19"/>
      <c r="AE67" s="19"/>
      <c r="AF67" s="19"/>
      <c r="AG67" s="19"/>
      <c r="AH67" s="19"/>
    </row>
    <row r="68" spans="1:34" ht="15.45" x14ac:dyDescent="0.4">
      <c r="A68" s="65"/>
      <c r="B68" s="59"/>
      <c r="C68" s="59"/>
      <c r="D68" s="59"/>
      <c r="E68" s="84"/>
      <c r="F68" s="78"/>
      <c r="G68" s="45" t="s">
        <v>26</v>
      </c>
      <c r="H68" s="57" t="s">
        <v>26</v>
      </c>
      <c r="I68" s="26"/>
      <c r="J68" s="1"/>
      <c r="K68" s="4"/>
      <c r="L68" s="1"/>
      <c r="AA68" s="2">
        <f>G47*D4</f>
        <v>0</v>
      </c>
      <c r="AB68" s="19"/>
      <c r="AC68" s="19"/>
      <c r="AD68" s="19"/>
      <c r="AE68" s="19"/>
      <c r="AF68" s="19"/>
      <c r="AG68" s="19"/>
      <c r="AH68" s="19"/>
    </row>
    <row r="69" spans="1:34" ht="15.45" x14ac:dyDescent="0.4">
      <c r="A69" s="58" t="s">
        <v>72</v>
      </c>
      <c r="B69" s="59"/>
      <c r="C69" s="59"/>
      <c r="D69" s="59"/>
      <c r="E69" s="85"/>
      <c r="F69" s="78"/>
      <c r="G69" s="61">
        <f ca="1">AA106</f>
        <v>370.81644203759811</v>
      </c>
      <c r="H69" s="62">
        <f ca="1">AA107</f>
        <v>370.81644203759811</v>
      </c>
      <c r="I69" s="26"/>
      <c r="J69" s="1"/>
      <c r="K69" s="4"/>
      <c r="L69" s="1"/>
      <c r="AA69" s="2">
        <f>1.1*E8/G4</f>
        <v>1.3411713477030265</v>
      </c>
      <c r="AB69" s="19"/>
      <c r="AC69" s="19"/>
      <c r="AD69" s="19"/>
      <c r="AE69" s="19"/>
      <c r="AF69" s="19"/>
      <c r="AG69" s="19"/>
      <c r="AH69" s="19"/>
    </row>
    <row r="70" spans="1:34" ht="15.45" x14ac:dyDescent="0.4">
      <c r="A70" s="86"/>
      <c r="B70" s="59"/>
      <c r="C70" s="59"/>
      <c r="D70" s="59"/>
      <c r="E70" s="85"/>
      <c r="F70" s="78"/>
      <c r="G70" s="54"/>
      <c r="H70" s="70"/>
      <c r="I70" s="26"/>
      <c r="J70" s="1"/>
      <c r="K70" s="4"/>
      <c r="L70" s="1"/>
      <c r="AA70" s="2">
        <f>F48*E48</f>
        <v>0</v>
      </c>
      <c r="AB70" s="19"/>
      <c r="AC70" s="19"/>
      <c r="AD70" s="19"/>
      <c r="AE70" s="19"/>
      <c r="AF70" s="19"/>
      <c r="AG70" s="19"/>
      <c r="AH70" s="19"/>
    </row>
    <row r="71" spans="1:34" ht="15.45" x14ac:dyDescent="0.4">
      <c r="A71" s="65"/>
      <c r="B71" s="59"/>
      <c r="C71" s="59"/>
      <c r="D71" s="59"/>
      <c r="E71" s="85"/>
      <c r="F71" s="78"/>
      <c r="G71" s="43"/>
      <c r="H71" s="46"/>
      <c r="I71" s="26"/>
      <c r="J71" s="1"/>
      <c r="K71" s="4"/>
      <c r="L71" s="1"/>
      <c r="AA71" s="2">
        <f>G48*D4</f>
        <v>0</v>
      </c>
      <c r="AB71" s="19"/>
      <c r="AC71" s="19"/>
      <c r="AD71" s="19"/>
      <c r="AE71" s="19"/>
      <c r="AF71" s="19"/>
      <c r="AG71" s="19"/>
      <c r="AH71" s="19"/>
    </row>
    <row r="72" spans="1:34" ht="15.45" x14ac:dyDescent="0.4">
      <c r="A72" s="65"/>
      <c r="B72" s="59"/>
      <c r="C72" s="59"/>
      <c r="D72" s="60" t="s">
        <v>54</v>
      </c>
      <c r="E72" s="80" t="s">
        <v>55</v>
      </c>
      <c r="F72" s="59"/>
      <c r="G72" s="54"/>
      <c r="H72" s="70"/>
      <c r="I72" s="26"/>
      <c r="J72" s="1"/>
      <c r="K72" s="4"/>
      <c r="L72" s="1"/>
      <c r="AA72" s="2">
        <f>F49*E49</f>
        <v>9.0036000000000005</v>
      </c>
      <c r="AB72" s="19"/>
      <c r="AC72" s="19"/>
      <c r="AD72" s="19"/>
      <c r="AE72" s="19"/>
      <c r="AF72" s="19"/>
      <c r="AG72" s="19"/>
      <c r="AH72" s="19"/>
    </row>
    <row r="73" spans="1:34" ht="15.45" x14ac:dyDescent="0.4">
      <c r="A73" s="58" t="s">
        <v>73</v>
      </c>
      <c r="B73" s="59"/>
      <c r="C73" s="59"/>
      <c r="D73" s="60" t="s">
        <v>56</v>
      </c>
      <c r="E73" s="80" t="s">
        <v>57</v>
      </c>
      <c r="F73" s="81"/>
      <c r="G73" s="45" t="s">
        <v>20</v>
      </c>
      <c r="H73" s="57" t="s">
        <v>21</v>
      </c>
      <c r="I73" s="26"/>
      <c r="J73" s="1"/>
      <c r="K73" s="7" t="s">
        <v>75</v>
      </c>
      <c r="L73" s="1"/>
      <c r="AA73" s="2">
        <f>G49*D4</f>
        <v>9.0036000000000005</v>
      </c>
      <c r="AB73" s="19"/>
      <c r="AC73" s="19"/>
      <c r="AD73" s="19"/>
      <c r="AE73" s="19"/>
      <c r="AF73" s="19"/>
      <c r="AG73" s="19"/>
      <c r="AH73" s="19"/>
    </row>
    <row r="74" spans="1:34" ht="15.45" x14ac:dyDescent="0.4">
      <c r="A74" s="58" t="s">
        <v>74</v>
      </c>
      <c r="B74" s="59"/>
      <c r="C74" s="59"/>
      <c r="D74" s="33">
        <v>42.6</v>
      </c>
      <c r="E74" s="82">
        <f ca="1">AA108</f>
        <v>0</v>
      </c>
      <c r="F74" s="81"/>
      <c r="G74" s="61">
        <f ca="1">AA109</f>
        <v>42.6</v>
      </c>
      <c r="H74" s="62">
        <f ca="1">AA110</f>
        <v>42.6</v>
      </c>
      <c r="I74" s="26"/>
      <c r="J74" s="1"/>
      <c r="K74" s="7" t="s">
        <v>77</v>
      </c>
      <c r="L74" s="1"/>
      <c r="AA74" s="2">
        <f>E8/G4</f>
        <v>1.2192466797300239</v>
      </c>
      <c r="AB74" s="19"/>
      <c r="AC74" s="19"/>
      <c r="AD74" s="19"/>
      <c r="AE74" s="19"/>
      <c r="AF74" s="19"/>
      <c r="AG74" s="19"/>
      <c r="AH74" s="19"/>
    </row>
    <row r="75" spans="1:34" ht="15.45" x14ac:dyDescent="0.4">
      <c r="A75" s="58" t="s">
        <v>76</v>
      </c>
      <c r="B75" s="59"/>
      <c r="C75" s="59"/>
      <c r="D75" s="33">
        <v>17.100000000000001</v>
      </c>
      <c r="E75" s="82">
        <f ca="1">AA111</f>
        <v>0</v>
      </c>
      <c r="F75" s="81"/>
      <c r="G75" s="61">
        <f ca="1">AA112</f>
        <v>17.100000000000001</v>
      </c>
      <c r="H75" s="62">
        <f ca="1">AA113</f>
        <v>17.100000000000001</v>
      </c>
      <c r="I75" s="26"/>
      <c r="J75" s="1"/>
      <c r="K75" s="7" t="s">
        <v>79</v>
      </c>
      <c r="L75" s="1"/>
      <c r="AA75" s="2">
        <f>F50*E50</f>
        <v>12.753320269976051</v>
      </c>
      <c r="AB75" s="19"/>
      <c r="AC75" s="19"/>
      <c r="AD75" s="19"/>
      <c r="AE75" s="19"/>
      <c r="AF75" s="19"/>
      <c r="AG75" s="19"/>
      <c r="AH75" s="19"/>
    </row>
    <row r="76" spans="1:34" ht="15.45" x14ac:dyDescent="0.4">
      <c r="A76" s="58" t="s">
        <v>127</v>
      </c>
      <c r="B76" s="59"/>
      <c r="C76" s="59"/>
      <c r="D76" s="33" t="s">
        <v>25</v>
      </c>
      <c r="E76" s="82"/>
      <c r="F76" s="81"/>
      <c r="G76" s="61" t="str">
        <f>AA114</f>
        <v>-</v>
      </c>
      <c r="H76" s="62">
        <f>AA115</f>
        <v>0</v>
      </c>
      <c r="I76" s="26"/>
      <c r="J76" s="4"/>
      <c r="K76" s="7" t="s">
        <v>81</v>
      </c>
      <c r="L76" s="1"/>
      <c r="AA76" s="2">
        <f>G50*D4</f>
        <v>12.753320269976051</v>
      </c>
      <c r="AB76" s="19"/>
      <c r="AC76" s="19"/>
      <c r="AD76" s="19"/>
      <c r="AE76" s="19"/>
      <c r="AF76" s="19"/>
      <c r="AG76" s="19"/>
      <c r="AH76" s="19"/>
    </row>
    <row r="77" spans="1:34" ht="15.45" x14ac:dyDescent="0.4">
      <c r="A77" s="58" t="s">
        <v>78</v>
      </c>
      <c r="B77" s="59"/>
      <c r="C77" s="59"/>
      <c r="D77" s="33">
        <v>0</v>
      </c>
      <c r="E77" s="82">
        <f ca="1">AA116</f>
        <v>0</v>
      </c>
      <c r="F77" s="59"/>
      <c r="G77" s="61">
        <f ca="1">AA117</f>
        <v>0</v>
      </c>
      <c r="H77" s="62">
        <f ca="1">AA118</f>
        <v>0</v>
      </c>
      <c r="I77" s="26"/>
      <c r="J77" s="1"/>
      <c r="K77" s="4"/>
      <c r="L77" s="1"/>
      <c r="AA77" s="9">
        <f>E50</f>
        <v>1.2192466797300239</v>
      </c>
      <c r="AB77" s="19"/>
      <c r="AC77" s="19"/>
      <c r="AD77" s="19"/>
      <c r="AE77" s="19"/>
      <c r="AF77" s="19"/>
      <c r="AG77" s="19"/>
      <c r="AH77" s="19"/>
    </row>
    <row r="78" spans="1:34" ht="15.45" x14ac:dyDescent="0.4">
      <c r="A78" s="83" t="s">
        <v>80</v>
      </c>
      <c r="B78" s="59"/>
      <c r="C78" s="59"/>
      <c r="D78" s="33">
        <v>8.3000000000000007</v>
      </c>
      <c r="E78" s="82">
        <f ca="1">AA119</f>
        <v>0</v>
      </c>
      <c r="F78" s="81"/>
      <c r="G78" s="61">
        <f ca="1">AA120</f>
        <v>8.3000000000000007</v>
      </c>
      <c r="H78" s="62">
        <f ca="1">AA121</f>
        <v>8.3000000000000007</v>
      </c>
      <c r="I78" s="26"/>
      <c r="J78" s="4"/>
      <c r="K78" s="4"/>
      <c r="L78" s="1"/>
      <c r="AA78" s="2">
        <f>F52*E52</f>
        <v>1.7069453516220334</v>
      </c>
      <c r="AB78" s="19"/>
      <c r="AC78" s="19"/>
      <c r="AD78" s="19"/>
      <c r="AE78" s="19"/>
      <c r="AF78" s="19"/>
      <c r="AG78" s="19"/>
      <c r="AH78" s="19"/>
    </row>
    <row r="79" spans="1:34" ht="15.45" x14ac:dyDescent="0.4">
      <c r="A79" s="65"/>
      <c r="B79" s="59"/>
      <c r="C79" s="59"/>
      <c r="D79" s="59"/>
      <c r="E79" s="81"/>
      <c r="F79" s="81"/>
      <c r="G79" s="45" t="s">
        <v>26</v>
      </c>
      <c r="H79" s="57" t="s">
        <v>26</v>
      </c>
      <c r="I79" s="26"/>
      <c r="J79" s="1"/>
      <c r="K79" s="1"/>
      <c r="L79" s="1"/>
      <c r="AA79" s="2">
        <f>G52*D4</f>
        <v>1.7069453516220334</v>
      </c>
      <c r="AB79" s="19"/>
      <c r="AC79" s="19"/>
      <c r="AD79" s="19"/>
      <c r="AE79" s="19"/>
      <c r="AF79" s="19"/>
      <c r="AG79" s="19"/>
      <c r="AH79" s="19"/>
    </row>
    <row r="80" spans="1:34" ht="15.45" x14ac:dyDescent="0.4">
      <c r="A80" s="58" t="s">
        <v>82</v>
      </c>
      <c r="B80" s="59"/>
      <c r="C80" s="59"/>
      <c r="D80" s="59"/>
      <c r="E80" s="59"/>
      <c r="F80" s="59"/>
      <c r="G80" s="61">
        <f ca="1">AA122</f>
        <v>68</v>
      </c>
      <c r="H80" s="62">
        <f ca="1">AA123</f>
        <v>68</v>
      </c>
      <c r="I80" s="26"/>
      <c r="J80" s="1"/>
      <c r="K80" s="4"/>
      <c r="L80" s="1"/>
      <c r="AA80" s="2" t="str">
        <f>E11</f>
        <v>-</v>
      </c>
      <c r="AB80" s="19"/>
      <c r="AC80" s="19"/>
      <c r="AD80" s="19"/>
      <c r="AE80" s="19"/>
      <c r="AF80" s="19"/>
      <c r="AG80" s="19"/>
      <c r="AH80" s="19"/>
    </row>
    <row r="81" spans="1:34" ht="15.45" x14ac:dyDescent="0.4">
      <c r="A81" s="65"/>
      <c r="B81" s="59"/>
      <c r="C81" s="59"/>
      <c r="D81" s="59"/>
      <c r="E81" s="81"/>
      <c r="F81" s="81"/>
      <c r="G81" s="54"/>
      <c r="H81" s="70"/>
      <c r="I81" s="26"/>
      <c r="J81" s="1"/>
      <c r="K81" s="4"/>
      <c r="L81" s="1"/>
      <c r="AA81" s="2">
        <f>F53*E53</f>
        <v>0</v>
      </c>
      <c r="AB81" s="19"/>
      <c r="AC81" s="19"/>
      <c r="AD81" s="19"/>
      <c r="AE81" s="19"/>
      <c r="AF81" s="19"/>
      <c r="AG81" s="19"/>
      <c r="AH81" s="19"/>
    </row>
    <row r="82" spans="1:34" ht="15.45" x14ac:dyDescent="0.4">
      <c r="A82" s="37"/>
      <c r="B82" s="37"/>
      <c r="C82" s="37"/>
      <c r="D82" s="37"/>
      <c r="E82" s="37"/>
      <c r="F82" s="37"/>
      <c r="G82" s="37"/>
      <c r="H82" s="37"/>
      <c r="I82" s="71"/>
      <c r="J82" s="1"/>
      <c r="K82" s="4"/>
      <c r="L82" s="1"/>
      <c r="AA82" s="2">
        <f>G53*D4</f>
        <v>0</v>
      </c>
      <c r="AB82" s="19"/>
      <c r="AC82" s="19"/>
      <c r="AD82" s="19"/>
      <c r="AE82" s="19"/>
      <c r="AF82" s="19"/>
      <c r="AG82" s="19"/>
      <c r="AH82" s="19"/>
    </row>
    <row r="83" spans="1:34" ht="15.45" x14ac:dyDescent="0.4">
      <c r="A83" s="38" t="s">
        <v>83</v>
      </c>
      <c r="B83" s="34"/>
      <c r="C83" s="34"/>
      <c r="D83" s="34"/>
      <c r="E83" s="45" t="s">
        <v>20</v>
      </c>
      <c r="F83" s="45" t="s">
        <v>21</v>
      </c>
      <c r="G83" s="34"/>
      <c r="H83" s="42"/>
      <c r="I83" s="71"/>
      <c r="J83" s="1"/>
      <c r="K83" s="4"/>
      <c r="L83" s="1"/>
      <c r="AA83" s="2">
        <f>E54*F54</f>
        <v>3.35</v>
      </c>
      <c r="AB83" s="19"/>
      <c r="AC83" s="19"/>
      <c r="AD83" s="19"/>
      <c r="AE83" s="19"/>
      <c r="AF83" s="19"/>
      <c r="AG83" s="19"/>
      <c r="AH83" s="19"/>
    </row>
    <row r="84" spans="1:34" ht="15.45" x14ac:dyDescent="0.4">
      <c r="A84" s="38" t="s">
        <v>84</v>
      </c>
      <c r="B84" s="34"/>
      <c r="C84" s="28"/>
      <c r="D84" s="34"/>
      <c r="E84" s="61">
        <f>AA124</f>
        <v>420</v>
      </c>
      <c r="F84" s="61">
        <f>AA125</f>
        <v>420</v>
      </c>
      <c r="G84" s="43"/>
      <c r="H84" s="70"/>
      <c r="I84" s="71"/>
      <c r="J84" s="1"/>
      <c r="K84" s="4"/>
      <c r="L84" s="1"/>
      <c r="AA84" s="2">
        <f>G54*D4</f>
        <v>3.35</v>
      </c>
      <c r="AB84" s="19"/>
      <c r="AC84" s="19"/>
      <c r="AD84" s="19"/>
      <c r="AE84" s="19"/>
      <c r="AF84" s="19"/>
      <c r="AG84" s="19"/>
      <c r="AH84" s="19"/>
    </row>
    <row r="85" spans="1:34" ht="15.45" x14ac:dyDescent="0.4">
      <c r="A85" s="38"/>
      <c r="B85" s="34"/>
      <c r="C85" s="34"/>
      <c r="D85" s="34"/>
      <c r="E85" s="61"/>
      <c r="F85" s="61"/>
      <c r="G85" s="34"/>
      <c r="H85" s="70"/>
      <c r="I85" s="71"/>
      <c r="J85" s="1"/>
      <c r="K85" s="4"/>
      <c r="L85" s="1"/>
      <c r="AA85" s="2">
        <f>F55*E55</f>
        <v>40</v>
      </c>
      <c r="AB85" s="19"/>
      <c r="AC85" s="19"/>
      <c r="AD85" s="19"/>
      <c r="AE85" s="19"/>
      <c r="AF85" s="19"/>
      <c r="AG85" s="19"/>
      <c r="AH85" s="19"/>
    </row>
    <row r="86" spans="1:34" ht="15.45" x14ac:dyDescent="0.4">
      <c r="A86" s="38" t="s">
        <v>85</v>
      </c>
      <c r="B86" s="34"/>
      <c r="C86" s="28"/>
      <c r="D86" s="34"/>
      <c r="E86" s="61">
        <f ca="1">AA128</f>
        <v>370.81644203759811</v>
      </c>
      <c r="F86" s="61">
        <f ca="1">AA129</f>
        <v>370.81644203759811</v>
      </c>
      <c r="G86" s="43"/>
      <c r="H86" s="70"/>
      <c r="I86" s="26"/>
      <c r="J86" s="1"/>
      <c r="K86" s="4"/>
      <c r="L86" s="1"/>
      <c r="AA86" s="2">
        <f>G55*D4</f>
        <v>40</v>
      </c>
      <c r="AB86" s="19"/>
      <c r="AC86" s="19"/>
      <c r="AD86" s="19"/>
      <c r="AE86" s="19"/>
      <c r="AF86" s="19"/>
      <c r="AG86" s="19"/>
      <c r="AH86" s="19"/>
    </row>
    <row r="87" spans="1:34" ht="15.45" x14ac:dyDescent="0.4">
      <c r="A87" s="32"/>
      <c r="B87" s="34"/>
      <c r="C87" s="34"/>
      <c r="D87" s="34"/>
      <c r="E87" s="45" t="s">
        <v>26</v>
      </c>
      <c r="F87" s="45" t="s">
        <v>26</v>
      </c>
      <c r="G87" s="34"/>
      <c r="H87" s="42"/>
      <c r="I87" s="71"/>
      <c r="J87" s="8"/>
      <c r="K87" s="4"/>
      <c r="L87" s="1"/>
      <c r="AA87" s="2">
        <f ca="1">IF(K59=0,0,HLOOKUP(A2,INDIRECT(K22),2, FALSE)*INDIRECT(K59)*0.01)</f>
        <v>0</v>
      </c>
      <c r="AB87" s="19"/>
      <c r="AC87" s="19"/>
      <c r="AD87" s="19"/>
      <c r="AE87" s="19"/>
      <c r="AF87" s="19"/>
      <c r="AG87" s="19"/>
      <c r="AH87" s="19"/>
    </row>
    <row r="88" spans="1:34" ht="15.45" x14ac:dyDescent="0.4">
      <c r="A88" s="38" t="s">
        <v>86</v>
      </c>
      <c r="B88" s="34"/>
      <c r="C88" s="54"/>
      <c r="D88" s="34"/>
      <c r="E88" s="61">
        <f ca="1">AA130</f>
        <v>49.183557962401892</v>
      </c>
      <c r="F88" s="61">
        <f ca="1">AA131</f>
        <v>49.183557962401892</v>
      </c>
      <c r="G88" s="87"/>
      <c r="H88" s="42"/>
      <c r="I88" s="71"/>
      <c r="J88" s="8"/>
      <c r="K88" s="1"/>
      <c r="L88" s="1"/>
      <c r="AA88" s="2">
        <f ca="1">H60/D4</f>
        <v>47.75</v>
      </c>
      <c r="AB88" s="19"/>
      <c r="AC88" s="19"/>
      <c r="AD88" s="19"/>
      <c r="AE88" s="19"/>
      <c r="AF88" s="19"/>
      <c r="AG88" s="19"/>
      <c r="AH88" s="19"/>
    </row>
    <row r="89" spans="1:34" ht="15.45" x14ac:dyDescent="0.4">
      <c r="A89" s="38" t="s">
        <v>87</v>
      </c>
      <c r="B89" s="34"/>
      <c r="C89" s="54"/>
      <c r="D89" s="34"/>
      <c r="E89" s="61">
        <f ca="1">AA132</f>
        <v>68</v>
      </c>
      <c r="F89" s="61">
        <f ca="1">AA133</f>
        <v>68</v>
      </c>
      <c r="G89" s="87"/>
      <c r="H89" s="42"/>
      <c r="I89" s="71"/>
      <c r="J89" s="8"/>
      <c r="K89" s="1"/>
      <c r="L89" s="1"/>
      <c r="AA89" s="2">
        <f ca="1">IF(E60=0,D60*D4,IF(INDIRECT(K59)&gt;0,E60,D60*D4))</f>
        <v>47.75</v>
      </c>
      <c r="AB89" s="19"/>
      <c r="AC89" s="19"/>
      <c r="AD89" s="19"/>
      <c r="AE89" s="19"/>
      <c r="AF89" s="19"/>
      <c r="AG89" s="19"/>
      <c r="AH89" s="19"/>
    </row>
    <row r="90" spans="1:34" ht="15.45" x14ac:dyDescent="0.4">
      <c r="A90" s="32"/>
      <c r="B90" s="34"/>
      <c r="C90" s="54"/>
      <c r="D90" s="43"/>
      <c r="E90" s="45" t="s">
        <v>26</v>
      </c>
      <c r="F90" s="45" t="s">
        <v>26</v>
      </c>
      <c r="G90" s="43"/>
      <c r="H90" s="70"/>
      <c r="I90" s="71"/>
      <c r="J90" s="8"/>
      <c r="K90" s="1"/>
      <c r="L90" s="1"/>
      <c r="AA90" s="2">
        <f ca="1">IF(K60=0,0,HLOOKUP(A2,INDIRECT(K22),3, FALSE)*INDIRECT(K60)*0.01)</f>
        <v>0</v>
      </c>
      <c r="AB90" s="19"/>
      <c r="AC90" s="19"/>
      <c r="AD90" s="19"/>
      <c r="AE90" s="19"/>
      <c r="AF90" s="19"/>
      <c r="AG90" s="19"/>
      <c r="AH90" s="19"/>
    </row>
    <row r="91" spans="1:34" ht="15.45" x14ac:dyDescent="0.4">
      <c r="A91" s="38" t="s">
        <v>88</v>
      </c>
      <c r="B91" s="34"/>
      <c r="C91" s="34"/>
      <c r="D91" s="43"/>
      <c r="E91" s="61">
        <f ca="1">AA134</f>
        <v>-18.816442037598108</v>
      </c>
      <c r="F91" s="61">
        <f ca="1">AA135</f>
        <v>-18.816442037598108</v>
      </c>
      <c r="G91" s="43"/>
      <c r="H91" s="88"/>
      <c r="I91" s="71"/>
      <c r="J91" s="1"/>
      <c r="K91" s="1"/>
      <c r="L91" s="1"/>
      <c r="AA91" s="2">
        <f ca="1">H61/D4</f>
        <v>36.35</v>
      </c>
      <c r="AB91" s="19"/>
      <c r="AC91" s="19"/>
      <c r="AD91" s="19"/>
      <c r="AE91" s="19"/>
      <c r="AF91" s="19"/>
      <c r="AG91" s="19"/>
      <c r="AH91" s="19"/>
    </row>
    <row r="92" spans="1:34" ht="15.45" x14ac:dyDescent="0.4">
      <c r="A92" s="32"/>
      <c r="B92" s="34"/>
      <c r="C92" s="34"/>
      <c r="D92" s="43"/>
      <c r="E92" s="54"/>
      <c r="F92" s="54"/>
      <c r="G92" s="43"/>
      <c r="H92" s="88"/>
      <c r="I92" s="71"/>
      <c r="J92" s="1"/>
      <c r="K92" s="1"/>
      <c r="L92" s="1"/>
      <c r="AA92" s="2">
        <f ca="1">IF(E61=0,D61*D4,IF(INDIRECT(K60)&gt;0,E61,D61*D4))</f>
        <v>36.35</v>
      </c>
      <c r="AB92" s="19"/>
      <c r="AC92" s="19"/>
      <c r="AD92" s="19"/>
      <c r="AE92" s="19"/>
      <c r="AF92" s="19"/>
      <c r="AG92" s="19"/>
      <c r="AH92" s="19"/>
    </row>
    <row r="93" spans="1:34" ht="15.45" x14ac:dyDescent="0.4">
      <c r="A93" s="38" t="s">
        <v>89</v>
      </c>
      <c r="B93" s="54"/>
      <c r="C93" s="28"/>
      <c r="D93" s="43"/>
      <c r="E93" s="30" t="s">
        <v>90</v>
      </c>
      <c r="F93" s="28"/>
      <c r="G93" s="89">
        <f ca="1">AA136</f>
        <v>6.6217221792428234</v>
      </c>
      <c r="H93" s="88"/>
      <c r="I93" s="90" t="s">
        <v>136</v>
      </c>
      <c r="J93" s="8"/>
      <c r="K93" s="4"/>
      <c r="L93" s="1"/>
      <c r="AA93" s="2">
        <f ca="1">IF(K61=0,0,HLOOKUP(A2,INDIRECT(K22),4, FALSE)*INDIRECT(K61)*0.01)</f>
        <v>0</v>
      </c>
      <c r="AB93" s="19"/>
      <c r="AC93" s="19"/>
      <c r="AD93" s="19"/>
      <c r="AE93" s="19"/>
      <c r="AF93" s="19"/>
      <c r="AG93" s="19"/>
      <c r="AH93" s="19"/>
    </row>
    <row r="94" spans="1:34" ht="15.45" x14ac:dyDescent="0.4">
      <c r="A94" s="32"/>
      <c r="B94" s="34"/>
      <c r="C94" s="54"/>
      <c r="D94" s="43"/>
      <c r="E94" s="30" t="s">
        <v>91</v>
      </c>
      <c r="F94" s="34"/>
      <c r="G94" s="89">
        <f ca="1">AA137</f>
        <v>1.2142857142857142</v>
      </c>
      <c r="H94" s="88"/>
      <c r="I94" s="90" t="s">
        <v>137</v>
      </c>
      <c r="J94" s="8"/>
      <c r="K94" s="4"/>
      <c r="L94" s="1"/>
      <c r="AA94" s="2">
        <f ca="1">H62/D4</f>
        <v>0</v>
      </c>
      <c r="AB94" s="19"/>
      <c r="AC94" s="19"/>
      <c r="AD94" s="19"/>
      <c r="AE94" s="19"/>
      <c r="AF94" s="19"/>
      <c r="AG94" s="19"/>
      <c r="AH94" s="19"/>
    </row>
    <row r="95" spans="1:34" ht="15.45" x14ac:dyDescent="0.4">
      <c r="A95" s="32"/>
      <c r="B95" s="34"/>
      <c r="C95" s="54"/>
      <c r="D95" s="28"/>
      <c r="E95" s="34"/>
      <c r="F95" s="28"/>
      <c r="G95" s="45" t="s">
        <v>26</v>
      </c>
      <c r="H95" s="36"/>
      <c r="I95" s="90" t="s">
        <v>138</v>
      </c>
      <c r="J95" s="8"/>
      <c r="K95" s="4"/>
      <c r="L95" s="1"/>
      <c r="AA95" s="2">
        <f ca="1">IF(E62=0,D62*D4,IF(INDIRECT(K61)&gt;0,E62,D62*D4))</f>
        <v>0</v>
      </c>
      <c r="AB95" s="19"/>
      <c r="AC95" s="19"/>
      <c r="AD95" s="19"/>
      <c r="AE95" s="19"/>
      <c r="AF95" s="19"/>
      <c r="AG95" s="19"/>
      <c r="AH95" s="19"/>
    </row>
    <row r="96" spans="1:34" ht="15.45" x14ac:dyDescent="0.4">
      <c r="A96" s="32"/>
      <c r="B96" s="34"/>
      <c r="C96" s="54"/>
      <c r="D96" s="34"/>
      <c r="E96" s="30" t="s">
        <v>92</v>
      </c>
      <c r="F96" s="34"/>
      <c r="G96" s="89">
        <f ca="1">AA138</f>
        <v>7.8360078935285378</v>
      </c>
      <c r="H96" s="88"/>
      <c r="I96" s="71"/>
      <c r="J96" s="8"/>
      <c r="K96" s="4"/>
      <c r="L96" s="1"/>
      <c r="AA96" s="2">
        <f ca="1">IF(K62=0,0,HLOOKUP(A2,INDIRECT(K22),5, FALSE)*INDIRECT(K62)*0.01)</f>
        <v>0</v>
      </c>
      <c r="AB96" s="19"/>
      <c r="AC96" s="19"/>
      <c r="AD96" s="19"/>
      <c r="AE96" s="19"/>
      <c r="AF96" s="19"/>
      <c r="AG96" s="19"/>
      <c r="AH96" s="19"/>
    </row>
    <row r="97" spans="1:34" ht="15.45" x14ac:dyDescent="0.4">
      <c r="A97" s="91"/>
      <c r="B97" s="28"/>
      <c r="C97" s="28"/>
      <c r="D97" s="28"/>
      <c r="E97" s="28"/>
      <c r="F97" s="28"/>
      <c r="G97" s="28"/>
      <c r="H97" s="36"/>
      <c r="I97" s="92">
        <f>AA139</f>
        <v>0</v>
      </c>
      <c r="J97" s="8"/>
      <c r="K97" s="1"/>
      <c r="L97" s="1"/>
      <c r="AA97" s="2">
        <f ca="1">H63/D4</f>
        <v>18.2</v>
      </c>
      <c r="AB97" s="19"/>
      <c r="AC97" s="19"/>
      <c r="AD97" s="19"/>
      <c r="AE97" s="19"/>
      <c r="AF97" s="19"/>
      <c r="AG97" s="19"/>
      <c r="AH97" s="19"/>
    </row>
    <row r="98" spans="1:34" ht="15.45" x14ac:dyDescent="0.4">
      <c r="A98" s="91"/>
      <c r="B98" s="28"/>
      <c r="C98" s="28"/>
      <c r="D98" s="28"/>
      <c r="E98" s="28"/>
      <c r="F98" s="28"/>
      <c r="G98" s="28"/>
      <c r="H98" s="36"/>
      <c r="I98" s="92">
        <f>AA140</f>
        <v>0</v>
      </c>
      <c r="J98" s="8"/>
      <c r="K98" s="1"/>
      <c r="L98" s="1"/>
      <c r="AA98" s="2">
        <f ca="1">IF(E63=0,D63*D4,IF(INDIRECT(K62)&gt;0,E63,D63*D4))</f>
        <v>18.2</v>
      </c>
      <c r="AB98" s="19"/>
      <c r="AC98" s="19"/>
      <c r="AD98" s="19"/>
      <c r="AE98" s="19"/>
      <c r="AF98" s="19"/>
      <c r="AG98" s="19"/>
      <c r="AH98" s="19"/>
    </row>
    <row r="99" spans="1:34" ht="15.45" x14ac:dyDescent="0.4">
      <c r="A99" s="37"/>
      <c r="B99" s="37"/>
      <c r="C99" s="37"/>
      <c r="D99" s="37"/>
      <c r="E99" s="37"/>
      <c r="F99" s="37"/>
      <c r="G99" s="37"/>
      <c r="H99" s="37"/>
      <c r="I99" s="92">
        <f ca="1">AA141</f>
        <v>-18.816442037598108</v>
      </c>
      <c r="J99" s="8"/>
      <c r="K99" s="1"/>
      <c r="L99" s="1"/>
      <c r="AA99" s="2">
        <f ca="1">IF(K63=0,0,HLOOKUP(A2,INDIRECT(K22),6, FALSE)*INDIRECT(K63)*0.01)</f>
        <v>0</v>
      </c>
      <c r="AB99" s="19"/>
      <c r="AC99" s="19"/>
      <c r="AD99" s="19"/>
      <c r="AE99" s="19"/>
      <c r="AF99" s="19"/>
      <c r="AG99" s="19"/>
      <c r="AH99" s="19"/>
    </row>
    <row r="100" spans="1:34" ht="15.45" x14ac:dyDescent="0.4">
      <c r="A100" s="91"/>
      <c r="B100" s="28"/>
      <c r="C100" s="28"/>
      <c r="D100" s="28"/>
      <c r="E100" s="28"/>
      <c r="F100" s="28"/>
      <c r="G100" s="28"/>
      <c r="H100" s="36"/>
      <c r="I100" s="92">
        <f>AA142</f>
        <v>19.067947</v>
      </c>
      <c r="J100" s="1"/>
      <c r="K100" s="1"/>
      <c r="L100" s="1"/>
      <c r="AA100" s="2">
        <f ca="1">H64/D4</f>
        <v>0</v>
      </c>
      <c r="AB100" s="19"/>
      <c r="AC100" s="19"/>
      <c r="AD100" s="19"/>
      <c r="AE100" s="19"/>
      <c r="AF100" s="19"/>
      <c r="AG100" s="19"/>
      <c r="AH100" s="19"/>
    </row>
    <row r="101" spans="1:34" ht="15.45" x14ac:dyDescent="0.4">
      <c r="A101" s="91"/>
      <c r="B101" s="28"/>
      <c r="C101" s="28"/>
      <c r="D101" s="28"/>
      <c r="E101" s="28"/>
      <c r="F101" s="28"/>
      <c r="G101" s="28"/>
      <c r="H101" s="36"/>
      <c r="I101" s="92">
        <f>AA143</f>
        <v>3.5906204749999997</v>
      </c>
      <c r="J101" s="1"/>
      <c r="K101" s="1"/>
      <c r="L101" s="1"/>
      <c r="AA101" s="2">
        <f ca="1">IF(E64=0,D64*D4,IF(INDIRECT(K63)&gt;0,E64,D64*D4))</f>
        <v>0</v>
      </c>
      <c r="AB101" s="19"/>
      <c r="AC101" s="19"/>
      <c r="AD101" s="19"/>
      <c r="AE101" s="19"/>
      <c r="AF101" s="19"/>
      <c r="AG101" s="19"/>
      <c r="AH101" s="19"/>
    </row>
    <row r="102" spans="1:34" ht="15.45" x14ac:dyDescent="0.4">
      <c r="A102" s="91"/>
      <c r="B102" s="28"/>
      <c r="C102" s="28"/>
      <c r="D102" s="28"/>
      <c r="E102" s="28"/>
      <c r="F102" s="28"/>
      <c r="G102" s="28"/>
      <c r="H102" s="36"/>
      <c r="I102" s="92">
        <f>AA145</f>
        <v>256.06710164535389</v>
      </c>
      <c r="J102" s="8"/>
      <c r="K102" s="1"/>
      <c r="L102" s="1"/>
      <c r="AA102" s="2">
        <f ca="1">IF(K66=0,0,HLOOKUP(A2,INDIRECT(K22),7, FALSE)*INDIRECT(K66)*0.01)</f>
        <v>0</v>
      </c>
      <c r="AB102" s="19"/>
      <c r="AC102" s="19"/>
      <c r="AD102" s="19"/>
      <c r="AE102" s="19"/>
      <c r="AF102" s="19"/>
      <c r="AG102" s="19"/>
      <c r="AH102" s="19"/>
    </row>
    <row r="103" spans="1:34" ht="15.45" x14ac:dyDescent="0.4">
      <c r="A103" s="91"/>
      <c r="B103" s="28"/>
      <c r="C103" s="28"/>
      <c r="D103" s="28"/>
      <c r="E103" s="28"/>
      <c r="F103" s="28"/>
      <c r="G103" s="28"/>
      <c r="H103" s="36"/>
      <c r="I103" s="71"/>
      <c r="J103" s="8"/>
      <c r="K103" s="1"/>
      <c r="L103" s="1"/>
      <c r="AA103" s="2">
        <f ca="1">H67/D4</f>
        <v>19.252576416</v>
      </c>
      <c r="AB103" s="19"/>
      <c r="AC103" s="19"/>
      <c r="AD103" s="19"/>
      <c r="AE103" s="19"/>
      <c r="AF103" s="19"/>
      <c r="AG103" s="19"/>
      <c r="AH103" s="19"/>
    </row>
    <row r="104" spans="1:34" ht="15.45" x14ac:dyDescent="0.4">
      <c r="A104" s="32"/>
      <c r="B104" s="30" t="s">
        <v>93</v>
      </c>
      <c r="C104" s="34"/>
      <c r="D104" s="34"/>
      <c r="E104" s="34"/>
      <c r="F104" s="34"/>
      <c r="G104" s="93">
        <f ca="1">AA144</f>
        <v>0.47071102898992251</v>
      </c>
      <c r="H104" s="42"/>
      <c r="I104" s="92">
        <f ca="1">AA148</f>
        <v>7.3482465793901081E-2</v>
      </c>
      <c r="J104" s="8"/>
      <c r="K104" s="1"/>
      <c r="L104" s="1"/>
      <c r="AA104" s="2">
        <f ca="1">IF(E67=0,J66,IF(INDIRECT(K66)&gt;0,E67,J66))</f>
        <v>19.252576416</v>
      </c>
      <c r="AB104" s="19"/>
      <c r="AC104" s="19"/>
      <c r="AD104" s="19"/>
      <c r="AE104" s="19"/>
      <c r="AF104" s="19"/>
      <c r="AG104" s="19"/>
      <c r="AH104" s="19"/>
    </row>
    <row r="105" spans="1:34" ht="15.45" x14ac:dyDescent="0.4">
      <c r="A105" s="32"/>
      <c r="B105" s="30" t="s">
        <v>94</v>
      </c>
      <c r="C105" s="54"/>
      <c r="D105" s="33">
        <v>0</v>
      </c>
      <c r="E105" s="30" t="s">
        <v>95</v>
      </c>
      <c r="F105" s="34"/>
      <c r="G105" s="93">
        <f ca="1">AA146</f>
        <v>0.47071102898992251</v>
      </c>
      <c r="H105" s="94" t="s">
        <v>96</v>
      </c>
      <c r="I105" s="92">
        <f ca="1">AA149</f>
        <v>0.98326326826093247</v>
      </c>
      <c r="J105" s="10">
        <f ca="1">AA150</f>
        <v>7.3482465793901081E-2</v>
      </c>
      <c r="K105" s="1"/>
      <c r="L105" s="1"/>
      <c r="AA105" s="2">
        <f ca="1">SUM(H30:H49,H55:H64)*C67*D67*0.0001</f>
        <v>19.252576416</v>
      </c>
      <c r="AB105" s="19"/>
      <c r="AC105" s="19"/>
      <c r="AD105" s="19"/>
      <c r="AE105" s="19"/>
      <c r="AF105" s="19"/>
      <c r="AG105" s="19"/>
      <c r="AH105" s="19"/>
    </row>
    <row r="106" spans="1:34" ht="15.45" x14ac:dyDescent="0.4">
      <c r="A106" s="32"/>
      <c r="B106" s="30"/>
      <c r="C106" s="54"/>
      <c r="D106" s="95"/>
      <c r="E106" s="30"/>
      <c r="F106" s="34"/>
      <c r="G106" s="93"/>
      <c r="H106" s="94"/>
      <c r="I106" s="92">
        <f ca="1">AA151</f>
        <v>0.39786665477319383</v>
      </c>
      <c r="J106" s="10">
        <f ca="1">AA152</f>
        <v>0.98326326826093247</v>
      </c>
      <c r="K106" s="1"/>
      <c r="L106" s="1"/>
      <c r="AA106" s="2">
        <f ca="1">H69/D4</f>
        <v>370.81644203759811</v>
      </c>
      <c r="AB106" s="19"/>
      <c r="AC106" s="19"/>
      <c r="AD106" s="19"/>
      <c r="AE106" s="19"/>
      <c r="AF106" s="19"/>
      <c r="AG106" s="19"/>
      <c r="AH106" s="19"/>
    </row>
    <row r="107" spans="1:34" ht="15.45" x14ac:dyDescent="0.4">
      <c r="A107" s="32"/>
      <c r="B107" s="96"/>
      <c r="C107" s="97" t="s">
        <v>134</v>
      </c>
      <c r="D107" s="97" t="s">
        <v>135</v>
      </c>
      <c r="E107" s="34"/>
      <c r="F107" s="43"/>
      <c r="G107" s="89">
        <f>AA147</f>
        <v>0.60968357534608064</v>
      </c>
      <c r="H107" s="98" t="str">
        <f>IF(G107&lt;=0.2499,"Low Risk",IF(AND(G107&gt;0.2499,G107&lt;0.4),"Moderate Risk","High Risk"))</f>
        <v>High Risk</v>
      </c>
      <c r="I107" s="92">
        <f ca="1">AA153</f>
        <v>0.47071102898992251</v>
      </c>
      <c r="J107" s="10">
        <f ca="1">AA154</f>
        <v>0.39786665477319383</v>
      </c>
      <c r="K107" s="1"/>
      <c r="L107" s="1"/>
      <c r="AA107" s="3">
        <f ca="1">SUM(H30:H67)</f>
        <v>370.81644203759811</v>
      </c>
      <c r="AB107" s="19"/>
      <c r="AC107" s="19"/>
      <c r="AD107" s="19"/>
      <c r="AE107" s="19"/>
      <c r="AF107" s="19"/>
      <c r="AG107" s="19"/>
      <c r="AH107" s="19"/>
    </row>
    <row r="108" spans="1:34" ht="15.45" x14ac:dyDescent="0.4">
      <c r="A108" s="32"/>
      <c r="B108" s="34"/>
      <c r="C108" s="54"/>
      <c r="D108" s="34"/>
      <c r="E108" s="34"/>
      <c r="F108" s="34"/>
      <c r="G108" s="43"/>
      <c r="H108" s="94" t="s">
        <v>97</v>
      </c>
      <c r="I108" s="71"/>
      <c r="J108" s="10">
        <f ca="1">AA155</f>
        <v>0.47071102898992251</v>
      </c>
      <c r="K108" s="1"/>
      <c r="L108" s="1"/>
      <c r="AA108" s="2">
        <f ca="1">IF(K73=0,0,HLOOKUP(A2,INDIRECT(K22),9, FALSE)*INDIRECT(K73)*0.01)</f>
        <v>0</v>
      </c>
      <c r="AB108" s="19"/>
      <c r="AC108" s="19"/>
      <c r="AD108" s="19"/>
      <c r="AE108" s="19"/>
      <c r="AF108" s="19"/>
      <c r="AG108" s="19"/>
      <c r="AH108" s="19"/>
    </row>
    <row r="109" spans="1:34" ht="15.45" x14ac:dyDescent="0.4">
      <c r="A109" s="32"/>
      <c r="B109" s="34"/>
      <c r="C109" s="45" t="s">
        <v>98</v>
      </c>
      <c r="D109" s="45"/>
      <c r="E109" s="45" t="s">
        <v>99</v>
      </c>
      <c r="F109" s="34"/>
      <c r="G109" s="34"/>
      <c r="H109" s="94" t="s">
        <v>100</v>
      </c>
      <c r="I109" s="71"/>
      <c r="J109" s="8"/>
      <c r="K109" s="1"/>
      <c r="L109" s="1"/>
      <c r="AA109" s="2">
        <f ca="1">H74/D4</f>
        <v>42.6</v>
      </c>
      <c r="AB109" s="19"/>
      <c r="AC109" s="19"/>
      <c r="AD109" s="19"/>
      <c r="AE109" s="19"/>
      <c r="AF109" s="19"/>
      <c r="AG109" s="19"/>
      <c r="AH109" s="19"/>
    </row>
    <row r="110" spans="1:34" ht="15.45" x14ac:dyDescent="0.4">
      <c r="A110" s="32"/>
      <c r="B110" s="28"/>
      <c r="C110" s="45"/>
      <c r="D110" s="89"/>
      <c r="E110" s="45" t="s">
        <v>101</v>
      </c>
      <c r="F110" s="28"/>
      <c r="G110" s="43"/>
      <c r="H110" s="94" t="s">
        <v>102</v>
      </c>
      <c r="I110" s="71"/>
      <c r="J110" s="8"/>
      <c r="K110" s="1"/>
      <c r="L110" s="1"/>
      <c r="AA110" s="2">
        <f ca="1">IF(E74=0,D74*D4,IF(INDIRECT(K73)&gt;0,E74,D74*D4))</f>
        <v>42.6</v>
      </c>
      <c r="AB110" s="19"/>
      <c r="AC110" s="19"/>
      <c r="AD110" s="19"/>
      <c r="AE110" s="19"/>
      <c r="AF110" s="19"/>
      <c r="AG110" s="19"/>
      <c r="AH110" s="19"/>
    </row>
    <row r="111" spans="1:34" ht="15.45" x14ac:dyDescent="0.4">
      <c r="A111" s="32"/>
      <c r="B111" s="34"/>
      <c r="C111" s="45"/>
      <c r="D111" s="89"/>
      <c r="E111" s="45"/>
      <c r="F111" s="43"/>
      <c r="G111" s="43"/>
      <c r="H111" s="94" t="s">
        <v>103</v>
      </c>
      <c r="I111" s="71"/>
      <c r="J111" s="8"/>
      <c r="K111" s="4"/>
      <c r="L111" s="1"/>
      <c r="AA111" s="2">
        <f ca="1">IF(K74=0,0,HLOOKUP(A2,INDIRECT(K22),10, FALSE)*INDIRECT(K74)*0.01)</f>
        <v>0</v>
      </c>
      <c r="AB111" s="19"/>
      <c r="AC111" s="19"/>
      <c r="AD111" s="19"/>
      <c r="AE111" s="19"/>
      <c r="AF111" s="19"/>
      <c r="AG111" s="19"/>
      <c r="AH111" s="19"/>
    </row>
    <row r="112" spans="1:34" ht="15.45" x14ac:dyDescent="0.4">
      <c r="A112" s="32"/>
      <c r="B112" s="28"/>
      <c r="C112" s="61">
        <f ca="1">AA156</f>
        <v>229.56864655839516</v>
      </c>
      <c r="D112" s="89"/>
      <c r="E112" s="45" t="s">
        <v>104</v>
      </c>
      <c r="F112" s="28"/>
      <c r="G112" s="43"/>
      <c r="H112" s="88"/>
      <c r="I112" s="71"/>
      <c r="J112" s="8"/>
      <c r="K112" s="4"/>
      <c r="L112" s="1"/>
      <c r="AA112" s="2">
        <f ca="1">H75/D4</f>
        <v>17.100000000000001</v>
      </c>
      <c r="AB112" s="19"/>
      <c r="AC112" s="19"/>
      <c r="AD112" s="19"/>
      <c r="AE112" s="19"/>
      <c r="AF112" s="19"/>
      <c r="AG112" s="19"/>
      <c r="AH112" s="19"/>
    </row>
    <row r="113" spans="1:34" ht="15.45" x14ac:dyDescent="0.4">
      <c r="A113" s="32"/>
      <c r="B113" s="34"/>
      <c r="C113" s="61">
        <f ca="1">AA157</f>
        <v>91.292411669904055</v>
      </c>
      <c r="D113" s="89"/>
      <c r="E113" s="45" t="s">
        <v>105</v>
      </c>
      <c r="F113" s="43"/>
      <c r="G113" s="43"/>
      <c r="H113" s="94" t="s">
        <v>106</v>
      </c>
      <c r="I113" s="71"/>
      <c r="J113" s="8"/>
      <c r="K113" s="4"/>
      <c r="L113" s="1"/>
      <c r="AA113" s="2">
        <f ca="1">IF(E75=0,D75*D4,IF(INDIRECT(K74)&gt;0,E75,D75*D4))</f>
        <v>17.100000000000001</v>
      </c>
      <c r="AB113" s="19"/>
      <c r="AC113" s="19"/>
      <c r="AD113" s="19"/>
      <c r="AE113" s="19"/>
      <c r="AF113" s="19"/>
      <c r="AG113" s="19"/>
      <c r="AH113" s="19"/>
    </row>
    <row r="114" spans="1:34" ht="15.45" x14ac:dyDescent="0.4">
      <c r="A114" s="32"/>
      <c r="B114" s="34"/>
      <c r="C114" s="61">
        <f ca="1">AA158</f>
        <v>-18.816442037598108</v>
      </c>
      <c r="D114" s="45"/>
      <c r="E114" s="45" t="s">
        <v>107</v>
      </c>
      <c r="F114" s="43"/>
      <c r="G114" s="28"/>
      <c r="H114" s="94" t="s">
        <v>108</v>
      </c>
      <c r="I114" s="26"/>
      <c r="J114" s="1"/>
      <c r="K114" s="1"/>
      <c r="L114" s="1"/>
      <c r="AA114" s="2" t="str">
        <f>D76</f>
        <v>-</v>
      </c>
      <c r="AB114" s="19"/>
      <c r="AC114" s="19"/>
      <c r="AD114" s="19"/>
      <c r="AE114" s="19"/>
      <c r="AF114" s="19"/>
      <c r="AG114" s="19"/>
      <c r="AH114" s="19"/>
    </row>
    <row r="115" spans="1:34" ht="15.45" x14ac:dyDescent="0.4">
      <c r="A115" s="32"/>
      <c r="B115" s="34"/>
      <c r="C115" s="61">
        <f ca="1">AA159</f>
        <v>-128.92529574510027</v>
      </c>
      <c r="D115" s="45"/>
      <c r="E115" s="45" t="s">
        <v>109</v>
      </c>
      <c r="F115" s="28"/>
      <c r="G115" s="43"/>
      <c r="H115" s="94" t="s">
        <v>110</v>
      </c>
      <c r="I115" s="71"/>
      <c r="J115" s="1"/>
      <c r="K115" s="4"/>
      <c r="L115" s="1"/>
      <c r="AA115" s="2">
        <f>G76*D4</f>
        <v>0</v>
      </c>
      <c r="AB115" s="19"/>
      <c r="AC115" s="19"/>
      <c r="AD115" s="19"/>
      <c r="AE115" s="19"/>
      <c r="AF115" s="19"/>
      <c r="AG115" s="19"/>
      <c r="AH115" s="19"/>
    </row>
    <row r="116" spans="1:34" ht="15.45" x14ac:dyDescent="0.4">
      <c r="A116" s="32"/>
      <c r="B116" s="28"/>
      <c r="C116" s="61">
        <f ca="1">AA160</f>
        <v>-267.20153063359135</v>
      </c>
      <c r="D116" s="45"/>
      <c r="E116" s="45" t="s">
        <v>111</v>
      </c>
      <c r="F116" s="28"/>
      <c r="G116" s="54"/>
      <c r="H116" s="94" t="s">
        <v>112</v>
      </c>
      <c r="I116" s="71"/>
      <c r="J116" s="8"/>
      <c r="K116" s="4"/>
      <c r="L116" s="1"/>
      <c r="AA116" s="2">
        <f ca="1">IF(K75=0,0,HLOOKUP(A2,INDIRECT(K22),11, FALSE)*INDIRECT(K75)*0.01)</f>
        <v>0</v>
      </c>
      <c r="AB116" s="19"/>
      <c r="AC116" s="19"/>
      <c r="AD116" s="19"/>
      <c r="AE116" s="19"/>
      <c r="AF116" s="19"/>
      <c r="AG116" s="19"/>
      <c r="AH116" s="19"/>
    </row>
    <row r="117" spans="1:34" ht="15.45" x14ac:dyDescent="0.4">
      <c r="A117" s="91"/>
      <c r="B117" s="28"/>
      <c r="C117" s="54"/>
      <c r="D117" s="28"/>
      <c r="E117" s="34"/>
      <c r="F117" s="28"/>
      <c r="G117" s="28"/>
      <c r="H117" s="35" t="s">
        <v>113</v>
      </c>
      <c r="I117" s="26"/>
      <c r="J117" s="1"/>
      <c r="K117" s="4"/>
      <c r="L117" s="1"/>
      <c r="AA117" s="2">
        <f ca="1">H77/D4</f>
        <v>0</v>
      </c>
      <c r="AB117" s="19"/>
      <c r="AC117" s="19"/>
      <c r="AD117" s="19"/>
      <c r="AE117" s="19"/>
      <c r="AF117" s="19"/>
      <c r="AG117" s="19"/>
      <c r="AH117" s="19"/>
    </row>
    <row r="118" spans="1:34" ht="15.45" x14ac:dyDescent="0.4">
      <c r="A118" s="32"/>
      <c r="B118" s="99"/>
      <c r="C118" s="54"/>
      <c r="D118" s="34"/>
      <c r="E118" s="100"/>
      <c r="F118" s="28"/>
      <c r="G118" s="54"/>
      <c r="H118" s="42"/>
      <c r="I118" s="26"/>
      <c r="J118" s="1"/>
      <c r="K118" s="4"/>
      <c r="L118" s="1"/>
      <c r="AA118" s="2">
        <f ca="1">IF(E77=0,D77*D4,IF(INDIRECT(K75)&gt;0,E77,D77*D4))</f>
        <v>0</v>
      </c>
      <c r="AB118" s="19"/>
      <c r="AC118" s="19"/>
      <c r="AD118" s="19"/>
      <c r="AE118" s="19"/>
      <c r="AF118" s="19"/>
      <c r="AG118" s="19"/>
      <c r="AH118" s="19"/>
    </row>
    <row r="119" spans="1:34" ht="15.45" x14ac:dyDescent="0.4">
      <c r="A119" s="101"/>
      <c r="B119" s="102"/>
      <c r="C119" s="102"/>
      <c r="D119" s="102"/>
      <c r="E119" s="102"/>
      <c r="F119" s="102"/>
      <c r="G119" s="102"/>
      <c r="H119" s="103"/>
      <c r="I119" s="26"/>
      <c r="J119" s="4"/>
      <c r="K119" s="4"/>
      <c r="L119" s="1"/>
      <c r="AA119" s="2">
        <f ca="1">IF(K76=0,0,HLOOKUP(A2,INDIRECT(K22),12, FALSE)*INDIRECT(K76)*0.01)</f>
        <v>0</v>
      </c>
      <c r="AB119" s="19"/>
      <c r="AC119" s="19"/>
      <c r="AD119" s="19"/>
      <c r="AE119" s="19"/>
      <c r="AF119" s="19"/>
      <c r="AG119" s="19"/>
      <c r="AH119" s="19"/>
    </row>
    <row r="120" spans="1:34" ht="15.45" x14ac:dyDescent="0.4">
      <c r="A120" s="104"/>
      <c r="B120" s="105"/>
      <c r="C120" s="105"/>
      <c r="D120" s="106" t="s">
        <v>132</v>
      </c>
      <c r="E120" s="105"/>
      <c r="F120" s="105"/>
      <c r="G120" s="105"/>
      <c r="H120" s="107"/>
      <c r="I120" s="71"/>
      <c r="J120" s="8"/>
      <c r="K120" s="8"/>
      <c r="L120" s="1"/>
      <c r="AA120" s="2">
        <f ca="1">H78/D4</f>
        <v>8.3000000000000007</v>
      </c>
      <c r="AB120" s="19"/>
      <c r="AC120" s="19"/>
      <c r="AD120" s="19"/>
      <c r="AE120" s="19"/>
      <c r="AF120" s="19"/>
      <c r="AG120" s="19"/>
      <c r="AH120" s="19"/>
    </row>
    <row r="121" spans="1:34" ht="15.45" x14ac:dyDescent="0.4">
      <c r="A121" s="108"/>
      <c r="B121" s="105"/>
      <c r="C121" s="105"/>
      <c r="D121" s="105"/>
      <c r="E121" s="105"/>
      <c r="F121" s="105"/>
      <c r="G121" s="105"/>
      <c r="H121" s="107"/>
      <c r="I121" s="71"/>
      <c r="J121" s="8"/>
      <c r="K121" s="8"/>
      <c r="L121" s="1"/>
      <c r="AA121" s="2">
        <f ca="1">IF(E78=0,D78*D4,IF(INDIRECT(K76)&gt;0,E78,D78*D4))</f>
        <v>8.3000000000000007</v>
      </c>
      <c r="AB121" s="19"/>
      <c r="AC121" s="19"/>
      <c r="AD121" s="19"/>
      <c r="AE121" s="19"/>
      <c r="AF121" s="19"/>
      <c r="AG121" s="19"/>
      <c r="AH121" s="19"/>
    </row>
    <row r="122" spans="1:34" ht="15.45" x14ac:dyDescent="0.4">
      <c r="A122" s="109"/>
      <c r="B122" s="105"/>
      <c r="C122" s="105"/>
      <c r="D122" s="109" t="s">
        <v>129</v>
      </c>
      <c r="E122" s="110"/>
      <c r="F122" s="110"/>
      <c r="G122" s="105"/>
      <c r="H122" s="107"/>
      <c r="I122" s="71"/>
      <c r="J122" s="8"/>
      <c r="K122" s="8"/>
      <c r="L122" s="1"/>
      <c r="AA122" s="2">
        <f ca="1">H80/D4</f>
        <v>68</v>
      </c>
      <c r="AB122" s="19"/>
      <c r="AC122" s="19"/>
      <c r="AD122" s="19"/>
      <c r="AE122" s="19"/>
      <c r="AF122" s="19"/>
      <c r="AG122" s="19"/>
      <c r="AH122" s="19"/>
    </row>
    <row r="123" spans="1:34" ht="15.45" x14ac:dyDescent="0.4">
      <c r="A123" s="111"/>
      <c r="B123" s="105"/>
      <c r="C123" s="105"/>
      <c r="D123" s="109" t="s">
        <v>130</v>
      </c>
      <c r="E123" s="110"/>
      <c r="F123" s="110"/>
      <c r="G123" s="105"/>
      <c r="H123" s="107"/>
      <c r="I123" s="26"/>
      <c r="J123" s="1"/>
      <c r="K123" s="1"/>
      <c r="L123" s="1"/>
      <c r="AA123" s="3">
        <f ca="1">SUM(H74:H78)</f>
        <v>68</v>
      </c>
      <c r="AB123" s="19"/>
      <c r="AC123" s="19"/>
      <c r="AD123" s="19"/>
      <c r="AE123" s="19"/>
      <c r="AF123" s="19"/>
      <c r="AG123" s="19"/>
      <c r="AH123" s="19"/>
    </row>
    <row r="124" spans="1:34" ht="15.45" x14ac:dyDescent="0.4">
      <c r="A124" s="108"/>
      <c r="B124" s="105"/>
      <c r="C124" s="105"/>
      <c r="D124" s="112" t="s">
        <v>142</v>
      </c>
      <c r="E124" s="110"/>
      <c r="F124" s="110"/>
      <c r="G124" s="105"/>
      <c r="H124" s="107"/>
      <c r="I124" s="71"/>
      <c r="J124" s="1"/>
      <c r="K124" s="1"/>
      <c r="L124" s="1"/>
      <c r="AA124" s="2">
        <f>(E8*E9)+(E11*E12)</f>
        <v>420</v>
      </c>
      <c r="AB124" s="19"/>
      <c r="AC124" s="19"/>
      <c r="AD124" s="19"/>
      <c r="AE124" s="19"/>
      <c r="AF124" s="19"/>
      <c r="AG124" s="19"/>
      <c r="AH124" s="19"/>
    </row>
    <row r="125" spans="1:34" ht="15.45" x14ac:dyDescent="0.4">
      <c r="A125" s="108"/>
      <c r="B125" s="105"/>
      <c r="C125" s="105"/>
      <c r="D125" s="113" t="s">
        <v>131</v>
      </c>
      <c r="E125" s="110"/>
      <c r="F125" s="110"/>
      <c r="G125" s="105"/>
      <c r="H125" s="107"/>
      <c r="I125" s="71"/>
      <c r="J125" s="1"/>
      <c r="K125" s="4"/>
      <c r="L125" s="1"/>
      <c r="AA125" s="2">
        <f>E84*D4</f>
        <v>420</v>
      </c>
      <c r="AB125" s="19"/>
      <c r="AC125" s="19"/>
      <c r="AD125" s="19"/>
      <c r="AE125" s="19"/>
      <c r="AF125" s="19"/>
      <c r="AG125" s="19"/>
      <c r="AH125" s="19"/>
    </row>
    <row r="126" spans="1:34" ht="15.45" x14ac:dyDescent="0.4">
      <c r="A126" s="114"/>
      <c r="B126" s="115"/>
      <c r="C126" s="115"/>
      <c r="D126" s="120"/>
      <c r="E126" s="116"/>
      <c r="F126" s="116"/>
      <c r="G126" s="117"/>
      <c r="H126" s="118"/>
      <c r="I126" s="71"/>
      <c r="J126" s="1"/>
      <c r="K126" s="4"/>
      <c r="L126" s="1"/>
      <c r="AA126" s="2">
        <f>IF(E44=1,H23,0)+IF(E45=1,D22,0)</f>
        <v>20.649939758637355</v>
      </c>
    </row>
    <row r="127" spans="1:34" ht="15.45" x14ac:dyDescent="0.4">
      <c r="A127" s="121" t="s">
        <v>146</v>
      </c>
      <c r="B127" s="122"/>
      <c r="C127" s="122"/>
      <c r="D127" s="123"/>
      <c r="E127" s="123"/>
      <c r="F127" s="124"/>
      <c r="G127" s="124"/>
      <c r="H127" s="122"/>
      <c r="I127" s="8"/>
      <c r="J127" s="1"/>
      <c r="K127" s="4"/>
      <c r="L127" s="1"/>
      <c r="AA127" s="2">
        <f>E85*D4</f>
        <v>0</v>
      </c>
    </row>
    <row r="128" spans="1:34" ht="11.6" x14ac:dyDescent="0.3">
      <c r="A128" s="14"/>
      <c r="B128" s="14"/>
      <c r="C128" s="14"/>
      <c r="D128" s="13"/>
      <c r="E128" s="14"/>
      <c r="F128" s="16"/>
      <c r="G128" s="16"/>
      <c r="H128" s="14"/>
      <c r="I128" s="8"/>
      <c r="J128" s="1"/>
      <c r="K128" s="4"/>
      <c r="L128" s="1"/>
      <c r="AA128" s="2">
        <f ca="1">F86/D4</f>
        <v>370.81644203759811</v>
      </c>
    </row>
    <row r="129" spans="1:27" ht="11.6" x14ac:dyDescent="0.3">
      <c r="A129" s="13"/>
      <c r="B129" s="14"/>
      <c r="C129" s="14"/>
      <c r="D129" s="13"/>
      <c r="E129" s="15"/>
      <c r="F129" s="14"/>
      <c r="G129" s="15"/>
      <c r="H129" s="15"/>
      <c r="I129" s="8"/>
      <c r="J129" s="8"/>
      <c r="K129" s="8"/>
      <c r="L129" s="1"/>
      <c r="AA129" s="3">
        <f ca="1">H69</f>
        <v>370.81644203759811</v>
      </c>
    </row>
    <row r="130" spans="1:27" ht="11.6" x14ac:dyDescent="0.3">
      <c r="A130" s="14"/>
      <c r="B130" s="14"/>
      <c r="C130" s="14"/>
      <c r="D130" s="14"/>
      <c r="E130" s="14"/>
      <c r="F130" s="14"/>
      <c r="G130" s="14"/>
      <c r="H130" s="14"/>
      <c r="I130" s="8"/>
      <c r="J130" s="8"/>
      <c r="K130" s="8"/>
      <c r="L130" s="1"/>
      <c r="AA130" s="2">
        <f ca="1">F88/D4</f>
        <v>49.183557962401892</v>
      </c>
    </row>
    <row r="131" spans="1:27" ht="11.6" x14ac:dyDescent="0.3">
      <c r="A131" s="13"/>
      <c r="B131" s="14"/>
      <c r="C131" s="14"/>
      <c r="D131" s="13"/>
      <c r="E131" s="15"/>
      <c r="F131" s="15"/>
      <c r="G131" s="15"/>
      <c r="H131" s="15"/>
      <c r="I131" s="1"/>
      <c r="J131" s="1"/>
      <c r="K131" s="4"/>
      <c r="L131" s="1"/>
      <c r="AA131" s="3">
        <f ca="1">SUM(F84:F85)-F86</f>
        <v>49.183557962401892</v>
      </c>
    </row>
    <row r="132" spans="1:27" ht="11.6" x14ac:dyDescent="0.3">
      <c r="A132" s="13"/>
      <c r="B132" s="13"/>
      <c r="C132" s="14"/>
      <c r="D132" s="14"/>
      <c r="E132" s="15"/>
      <c r="F132" s="15"/>
      <c r="G132" s="17"/>
      <c r="H132" s="18"/>
      <c r="I132" s="8"/>
      <c r="J132" s="8"/>
      <c r="K132" s="8"/>
      <c r="L132" s="1"/>
      <c r="AA132" s="2">
        <f ca="1">F89/D4</f>
        <v>68</v>
      </c>
    </row>
    <row r="133" spans="1:27" ht="11.6" x14ac:dyDescent="0.3">
      <c r="A133" s="13"/>
      <c r="B133" s="13"/>
      <c r="C133" s="14"/>
      <c r="D133" s="13"/>
      <c r="E133" s="13"/>
      <c r="F133" s="15"/>
      <c r="G133" s="17"/>
      <c r="H133" s="18"/>
      <c r="I133" s="8"/>
      <c r="J133" s="8"/>
      <c r="K133" s="8"/>
      <c r="L133" s="1"/>
      <c r="AA133" s="3">
        <f ca="1">H80</f>
        <v>68</v>
      </c>
    </row>
    <row r="134" spans="1:27" ht="11.6" x14ac:dyDescent="0.3">
      <c r="A134" s="13"/>
      <c r="B134" s="13"/>
      <c r="C134" s="14"/>
      <c r="D134" s="14"/>
      <c r="E134" s="14"/>
      <c r="F134" s="14"/>
      <c r="G134" s="16"/>
      <c r="H134" s="18"/>
      <c r="I134" s="8"/>
      <c r="J134" s="8"/>
      <c r="K134" s="8"/>
      <c r="L134" s="1"/>
      <c r="AA134" s="3">
        <f ca="1">E88-E89</f>
        <v>-18.816442037598108</v>
      </c>
    </row>
    <row r="135" spans="1:27" ht="11.6" x14ac:dyDescent="0.3">
      <c r="A135" s="13"/>
      <c r="B135" s="14"/>
      <c r="C135" s="14"/>
      <c r="D135" s="14"/>
      <c r="E135" s="15"/>
      <c r="F135" s="15"/>
      <c r="G135" s="14"/>
      <c r="H135" s="18"/>
      <c r="I135" s="8"/>
      <c r="J135" s="8"/>
      <c r="K135" s="8"/>
      <c r="L135" s="1"/>
      <c r="AA135" s="3">
        <f ca="1">F88-F89</f>
        <v>-18.816442037598108</v>
      </c>
    </row>
    <row r="136" spans="1:27" ht="11.6" x14ac:dyDescent="0.3">
      <c r="A136" s="13"/>
      <c r="B136" s="14"/>
      <c r="C136" s="13"/>
      <c r="D136" s="14"/>
      <c r="E136" s="13"/>
      <c r="F136" s="15"/>
      <c r="G136" s="14"/>
      <c r="H136" s="18"/>
      <c r="I136" s="8"/>
      <c r="J136" s="8"/>
      <c r="K136" s="8"/>
      <c r="L136" s="1"/>
      <c r="AA136" s="2">
        <f ca="1">E86/E8</f>
        <v>6.6217221792428234</v>
      </c>
    </row>
    <row r="137" spans="1:27" ht="11.6" x14ac:dyDescent="0.3">
      <c r="A137" s="13"/>
      <c r="B137" s="14"/>
      <c r="C137" s="13"/>
      <c r="D137" s="14"/>
      <c r="E137" s="13"/>
      <c r="F137" s="14"/>
      <c r="G137" s="14"/>
      <c r="H137" s="18"/>
      <c r="I137" s="1"/>
      <c r="J137" s="1"/>
      <c r="K137" s="1"/>
      <c r="L137" s="1"/>
      <c r="AA137" s="2">
        <f ca="1">E89/E8</f>
        <v>1.2142857142857142</v>
      </c>
    </row>
    <row r="138" spans="1:27" ht="11.6" x14ac:dyDescent="0.3">
      <c r="A138" s="13"/>
      <c r="B138" s="14"/>
      <c r="C138" s="14"/>
      <c r="D138" s="14"/>
      <c r="E138" s="15"/>
      <c r="F138" s="15"/>
      <c r="G138" s="14"/>
      <c r="H138" s="18"/>
      <c r="I138" s="1"/>
      <c r="J138" s="1"/>
      <c r="K138" s="1"/>
      <c r="L138" s="1"/>
      <c r="AA138" s="9">
        <f ca="1">G93+G94</f>
        <v>7.8360078935285378</v>
      </c>
    </row>
    <row r="139" spans="1:27" ht="11.6" x14ac:dyDescent="0.3">
      <c r="A139" s="13"/>
      <c r="B139" s="14"/>
      <c r="C139" s="15"/>
      <c r="D139" s="14"/>
      <c r="E139" s="13"/>
      <c r="F139" s="15"/>
      <c r="G139" s="14"/>
      <c r="H139" s="18"/>
      <c r="I139" s="1"/>
      <c r="J139" s="1"/>
      <c r="K139" s="1"/>
      <c r="L139" s="1"/>
      <c r="AA139" s="2">
        <f>(C11-G11)/2</f>
        <v>0</v>
      </c>
    </row>
    <row r="140" spans="1:27" ht="11.6" x14ac:dyDescent="0.3">
      <c r="A140" s="13"/>
      <c r="B140" s="14"/>
      <c r="C140" s="15"/>
      <c r="D140" s="14"/>
      <c r="E140" s="13"/>
      <c r="F140" s="15"/>
      <c r="G140" s="16"/>
      <c r="H140" s="18"/>
      <c r="I140" s="1"/>
      <c r="J140" s="1"/>
      <c r="K140" s="1"/>
      <c r="L140" s="1"/>
      <c r="AA140" s="2">
        <f>(C12-G12)/2</f>
        <v>0</v>
      </c>
    </row>
    <row r="141" spans="1:27" ht="11.6" x14ac:dyDescent="0.3">
      <c r="A141" s="13"/>
      <c r="B141" s="14"/>
      <c r="C141" s="15"/>
      <c r="D141" s="14"/>
      <c r="E141" s="13"/>
      <c r="F141" s="14"/>
      <c r="G141" s="16"/>
      <c r="H141" s="18"/>
      <c r="I141" s="1"/>
      <c r="J141" s="1"/>
      <c r="K141" s="1"/>
      <c r="L141" s="1"/>
      <c r="AA141" s="3">
        <f ca="1">E91</f>
        <v>-18.816442037598108</v>
      </c>
    </row>
    <row r="142" spans="1:27" ht="11.6" x14ac:dyDescent="0.3">
      <c r="A142" s="13"/>
      <c r="B142" s="14"/>
      <c r="C142" s="15"/>
      <c r="D142" s="14"/>
      <c r="E142" s="13"/>
      <c r="F142" s="14"/>
      <c r="G142" s="14"/>
      <c r="H142" s="18"/>
      <c r="I142" s="1"/>
      <c r="J142" s="1"/>
      <c r="K142" s="1"/>
      <c r="L142" s="1"/>
      <c r="AA142" s="2">
        <f>IF(E44=1,0.19465*E8+0.66805*((C8-G8)/2)-0.20342*H20,(C8-G8)/2)</f>
        <v>19.067947</v>
      </c>
    </row>
    <row r="143" spans="1:27" ht="11.6" x14ac:dyDescent="0.3">
      <c r="A143" s="14"/>
      <c r="B143" s="14"/>
      <c r="C143" s="15"/>
      <c r="D143" s="14"/>
      <c r="E143" s="13"/>
      <c r="F143" s="14"/>
      <c r="G143" s="16"/>
      <c r="H143" s="14"/>
      <c r="I143" s="1"/>
      <c r="J143" s="1"/>
      <c r="K143" s="1"/>
      <c r="L143" s="1"/>
      <c r="AA143" s="2">
        <f>IF(E45=1,0.19465*E9+0.66805*((C9-G9)/2)-0.20342*D20,(C9-G9)/2)</f>
        <v>3.5906204749999997</v>
      </c>
    </row>
    <row r="144" spans="1:27" ht="11.6" x14ac:dyDescent="0.3">
      <c r="A144" s="13"/>
      <c r="B144" s="13"/>
      <c r="C144" s="13"/>
      <c r="D144" s="13"/>
      <c r="E144" s="13"/>
      <c r="F144" s="13"/>
      <c r="G144" s="13"/>
      <c r="H144" s="13"/>
      <c r="I144" s="1"/>
      <c r="J144" s="1"/>
      <c r="K144" s="1"/>
      <c r="L144" s="1"/>
      <c r="AA144" s="2">
        <f ca="1">IF(I99&gt;0,1-I107,I107)</f>
        <v>0.47071102898992251</v>
      </c>
    </row>
    <row r="145" spans="1:27" ht="11.6" x14ac:dyDescent="0.3">
      <c r="A145" s="14"/>
      <c r="B145" s="13"/>
      <c r="C145" s="14"/>
      <c r="D145" s="14"/>
      <c r="E145" s="14"/>
      <c r="F145" s="14"/>
      <c r="G145" s="17"/>
      <c r="H145" s="18"/>
      <c r="I145" s="8"/>
      <c r="J145" s="1"/>
      <c r="K145" s="1"/>
      <c r="L145" s="1"/>
      <c r="AA145" s="2">
        <f>SQRT((E8*I101)^2+(E9*I100)^2+(I100*I101)^2+(E11*I98)^2+(E12*I97)^2+(I97*I98)^2)</f>
        <v>256.06710164535389</v>
      </c>
    </row>
    <row r="146" spans="1:27" ht="11.6" x14ac:dyDescent="0.3">
      <c r="A146" s="14"/>
      <c r="B146" s="13"/>
      <c r="C146" s="14"/>
      <c r="D146" s="13"/>
      <c r="E146" s="13"/>
      <c r="F146" s="13"/>
      <c r="G146" s="13"/>
      <c r="H146" s="18"/>
      <c r="I146" s="8"/>
      <c r="J146" s="1"/>
      <c r="K146" s="1"/>
      <c r="L146" s="1"/>
      <c r="AA146" s="2">
        <f ca="1">IF(I99-D105&gt;0,1-J108,J108)</f>
        <v>0.47071102898992251</v>
      </c>
    </row>
    <row r="147" spans="1:27" ht="11.6" x14ac:dyDescent="0.3">
      <c r="A147" s="14"/>
      <c r="B147" s="13"/>
      <c r="C147" s="14"/>
      <c r="D147" s="13"/>
      <c r="E147" s="13"/>
      <c r="F147" s="15"/>
      <c r="G147" s="13"/>
      <c r="H147" s="18"/>
      <c r="I147" s="8"/>
      <c r="J147" s="1"/>
      <c r="K147" s="1"/>
      <c r="L147" s="1"/>
      <c r="AA147" s="2">
        <f>I102/E84</f>
        <v>0.60968357534608064</v>
      </c>
    </row>
    <row r="148" spans="1:27" ht="11.6" x14ac:dyDescent="0.3">
      <c r="A148" s="14"/>
      <c r="B148" s="13"/>
      <c r="C148" s="14"/>
      <c r="D148" s="14"/>
      <c r="E148" s="14"/>
      <c r="F148" s="15"/>
      <c r="G148" s="13"/>
      <c r="H148" s="18"/>
      <c r="I148" s="8"/>
      <c r="J148" s="1"/>
      <c r="K148" s="1"/>
      <c r="L148" s="1"/>
      <c r="AA148" s="2">
        <f ca="1">ABS(I99/I102)</f>
        <v>7.3482465793901081E-2</v>
      </c>
    </row>
    <row r="149" spans="1:27" ht="11.6" x14ac:dyDescent="0.3">
      <c r="A149" s="14"/>
      <c r="B149" s="14"/>
      <c r="C149" s="13"/>
      <c r="D149" s="14"/>
      <c r="E149" s="13"/>
      <c r="F149" s="17"/>
      <c r="G149" s="14"/>
      <c r="H149" s="18"/>
      <c r="I149" s="8"/>
      <c r="J149" s="1"/>
      <c r="K149" s="1"/>
      <c r="L149" s="1"/>
      <c r="AA149" s="2">
        <f ca="1">1/(1+(0.2316419*I104))</f>
        <v>0.98326326826093247</v>
      </c>
    </row>
    <row r="150" spans="1:27" ht="11.6" x14ac:dyDescent="0.3">
      <c r="A150" s="14"/>
      <c r="B150" s="13"/>
      <c r="C150" s="13"/>
      <c r="D150" s="13"/>
      <c r="E150" s="13"/>
      <c r="F150" s="16"/>
      <c r="G150" s="14"/>
      <c r="H150" s="18"/>
      <c r="I150" s="8"/>
      <c r="J150" s="8"/>
      <c r="K150" s="1"/>
      <c r="L150" s="1"/>
      <c r="AA150" s="2">
        <f ca="1">ABS((I99-D105)/I102)</f>
        <v>7.3482465793901081E-2</v>
      </c>
    </row>
    <row r="151" spans="1:27" ht="11.6" x14ac:dyDescent="0.3">
      <c r="A151" s="13"/>
      <c r="B151" s="13"/>
      <c r="C151" s="13"/>
      <c r="D151" s="13"/>
      <c r="E151" s="13"/>
      <c r="F151" s="13"/>
      <c r="G151" s="13"/>
      <c r="H151" s="13"/>
      <c r="I151" s="8"/>
      <c r="J151" s="8"/>
      <c r="K151" s="1"/>
      <c r="L151" s="1"/>
      <c r="AA151" s="2">
        <f ca="1">0.398942281*EXP(I104^2/-2)</f>
        <v>0.39786665477319383</v>
      </c>
    </row>
    <row r="152" spans="1:27" ht="11.6" x14ac:dyDescent="0.3">
      <c r="A152" s="14"/>
      <c r="B152" s="14"/>
      <c r="C152" s="15"/>
      <c r="D152" s="14"/>
      <c r="E152" s="13"/>
      <c r="F152" s="14"/>
      <c r="G152" s="18"/>
      <c r="H152" s="18"/>
      <c r="I152" s="8"/>
      <c r="J152" s="8"/>
      <c r="K152" s="1"/>
      <c r="L152" s="1"/>
      <c r="AA152" s="2">
        <f ca="1">1/(1+(0.2316419*J105))</f>
        <v>0.98326326826093247</v>
      </c>
    </row>
    <row r="153" spans="1:27" ht="11.6" x14ac:dyDescent="0.3">
      <c r="A153" s="14"/>
      <c r="B153" s="14"/>
      <c r="C153" s="15"/>
      <c r="D153" s="14"/>
      <c r="E153" s="13"/>
      <c r="F153" s="14"/>
      <c r="G153" s="18"/>
      <c r="H153" s="18"/>
      <c r="I153" s="8"/>
      <c r="J153" s="8"/>
      <c r="K153" s="1"/>
      <c r="L153" s="1"/>
      <c r="AA153" s="2">
        <f ca="1">I106*(0.31938153*I105-0.356563782*I105^2+1.781477937*I105^3-1.821255978*I105^4+1.330274429*I105^5)</f>
        <v>0.47071102898992251</v>
      </c>
    </row>
    <row r="154" spans="1:27" ht="11.6" x14ac:dyDescent="0.3">
      <c r="A154" s="14"/>
      <c r="B154" s="14"/>
      <c r="C154" s="15"/>
      <c r="D154" s="14"/>
      <c r="E154" s="13"/>
      <c r="F154" s="14"/>
      <c r="G154" s="18"/>
      <c r="H154" s="18"/>
      <c r="I154" s="8"/>
      <c r="J154" s="8"/>
      <c r="K154" s="1"/>
      <c r="L154" s="1"/>
      <c r="AA154" s="2">
        <f ca="1">0.398942281*EXP(J105^2/-2)</f>
        <v>0.39786665477319383</v>
      </c>
    </row>
    <row r="155" spans="1:27" ht="11.6" x14ac:dyDescent="0.3">
      <c r="A155" s="14"/>
      <c r="B155" s="15"/>
      <c r="C155" s="15"/>
      <c r="D155" s="14"/>
      <c r="E155" s="13"/>
      <c r="F155" s="14"/>
      <c r="G155" s="14"/>
      <c r="H155" s="18"/>
      <c r="I155" s="8"/>
      <c r="J155" s="1"/>
      <c r="K155" s="1"/>
      <c r="L155" s="1"/>
      <c r="AA155" s="2">
        <f ca="1">J107*(0.31938153*J106-0.356563782*J106^2+1.781477937*J106^3-1.821255978*J106^4+1.330274429*J106^5)</f>
        <v>0.47071102898992251</v>
      </c>
    </row>
    <row r="156" spans="1:27" ht="11.6" x14ac:dyDescent="0.3">
      <c r="A156" s="14"/>
      <c r="B156" s="15"/>
      <c r="C156" s="15"/>
      <c r="D156" s="14"/>
      <c r="E156" s="13"/>
      <c r="F156" s="14"/>
      <c r="G156" s="18"/>
      <c r="H156" s="18"/>
      <c r="I156" s="8"/>
      <c r="J156" s="1"/>
      <c r="K156" s="1"/>
      <c r="L156" s="1"/>
      <c r="AA156" s="2">
        <f ca="1">I99+0.97*I102</f>
        <v>229.56864655839516</v>
      </c>
    </row>
    <row r="157" spans="1:27" ht="11.6" x14ac:dyDescent="0.3">
      <c r="A157" s="14"/>
      <c r="B157" s="15"/>
      <c r="C157" s="15"/>
      <c r="D157" s="14"/>
      <c r="E157" s="13"/>
      <c r="F157" s="14"/>
      <c r="G157" s="18"/>
      <c r="H157" s="18"/>
      <c r="I157" s="1"/>
      <c r="J157" s="1"/>
      <c r="K157" s="1"/>
      <c r="L157" s="1"/>
      <c r="AA157" s="2">
        <f ca="1">I99+0.43*I102</f>
        <v>91.292411669904055</v>
      </c>
    </row>
    <row r="158" spans="1:27" ht="11.6" x14ac:dyDescent="0.3">
      <c r="A158" s="14"/>
      <c r="B158" s="13"/>
      <c r="C158" s="14"/>
      <c r="D158" s="14"/>
      <c r="E158" s="13"/>
      <c r="F158" s="14"/>
      <c r="G158" s="18"/>
      <c r="H158" s="18"/>
      <c r="I158" s="1"/>
      <c r="J158" s="1"/>
      <c r="K158" s="1"/>
      <c r="L158" s="1"/>
      <c r="AA158" s="11">
        <f ca="1">I99</f>
        <v>-18.816442037598108</v>
      </c>
    </row>
    <row r="159" spans="1:27" ht="11.6" x14ac:dyDescent="0.3">
      <c r="A159" s="14"/>
      <c r="B159" s="14"/>
      <c r="C159" s="14"/>
      <c r="D159" s="14"/>
      <c r="E159" s="14"/>
      <c r="F159" s="14"/>
      <c r="G159" s="14"/>
      <c r="H159" s="14"/>
      <c r="I159" s="1"/>
      <c r="J159" s="1"/>
      <c r="K159" s="1"/>
      <c r="L159" s="1"/>
      <c r="AA159" s="2">
        <f ca="1">I99-0.43*I102</f>
        <v>-128.92529574510027</v>
      </c>
    </row>
    <row r="160" spans="1:27" ht="11.6" x14ac:dyDescent="0.3">
      <c r="A160" s="14"/>
      <c r="B160" s="14"/>
      <c r="C160" s="14"/>
      <c r="D160" s="14"/>
      <c r="E160" s="14"/>
      <c r="F160" s="14"/>
      <c r="G160" s="14"/>
      <c r="H160" s="14"/>
      <c r="I160" s="1"/>
      <c r="J160" s="1"/>
      <c r="K160" s="1"/>
      <c r="L160" s="1"/>
      <c r="AA160" s="2">
        <f ca="1">I99-0.97*I102</f>
        <v>-267.20153063359135</v>
      </c>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4"/>
      <c r="B204" s="14"/>
      <c r="C204" s="14"/>
      <c r="D204" s="14"/>
      <c r="E204" s="14"/>
      <c r="F204" s="14"/>
      <c r="G204" s="14"/>
      <c r="H204" s="14"/>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YPSlPn2Prc2TMKY88OknhmjO2jyptwl7OE1WVb6vOxgqQdHrhsnkiZ1bhaaYhQdeMYM4BN01+b4dunOGO3MS0Q==" saltValue="gHSWAm3f2D5Xq3x4vZrKig==" spinCount="100000" sheet="1" objects="1" scenarios="1"/>
  <phoneticPr fontId="7"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FF908FD2-E703-46FF-BB2B-2253AE1796A9}"/>
</file>

<file path=customXml/itemProps2.xml><?xml version="1.0" encoding="utf-8"?>
<ds:datastoreItem xmlns:ds="http://schemas.openxmlformats.org/officeDocument/2006/customXml" ds:itemID="{7158E446-0BCD-43A3-9863-77397035B894}"/>
</file>

<file path=customXml/itemProps3.xml><?xml version="1.0" encoding="utf-8"?>
<ds:datastoreItem xmlns:ds="http://schemas.openxmlformats.org/officeDocument/2006/customXml" ds:itemID="{1441873F-0F5C-4905-8FF2-C6016E3408D2}"/>
</file>

<file path=customXml/itemProps4.xml><?xml version="1.0" encoding="utf-8"?>
<ds:datastoreItem xmlns:ds="http://schemas.openxmlformats.org/officeDocument/2006/customXml" ds:itemID="{1BDEB94E-0161-4E5F-81BB-BAC7B8803709}"/>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BARLEY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2006-03-28T19:18:06Z</cp:lastPrinted>
  <dcterms:created xsi:type="dcterms:W3CDTF">2000-03-02T01:34:31Z</dcterms:created>
  <dcterms:modified xsi:type="dcterms:W3CDTF">2024-12-11T20:47:27Z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2021-08-20T13:38:27Z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a6280fd7-d524-44b1-89c6-ba6a18ce5ff9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