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john_molenhuis_ontario_ca/Documents/Documents/Data/updatedbudgets/livestock/Sheep/2023/"/>
    </mc:Choice>
  </mc:AlternateContent>
  <xr:revisionPtr revIDLastSave="6" documentId="8_{F0B5454A-001E-4284-BF21-50B9873B6911}" xr6:coauthVersionLast="47" xr6:coauthVersionMax="47" xr10:uidLastSave="{4FF7073C-ADC9-42E9-BE47-1C1BBAD970CB}"/>
  <bookViews>
    <workbookView xWindow="-103" yWindow="-103" windowWidth="22149" windowHeight="11949" xr2:uid="{00000000-000D-0000-FFFF-FFFF00000000}"/>
  </bookViews>
  <sheets>
    <sheet name="LAMB" sheetId="1" r:id="rId1"/>
    <sheet name="CapitalInvestment" sheetId="2" r:id="rId2"/>
  </sheets>
  <definedNames>
    <definedName name="\0" localSheetId="1">#REF!</definedName>
    <definedName name="\0">#REF!</definedName>
    <definedName name="\a" localSheetId="1">#REF!</definedName>
    <definedName name="\a">#REF!</definedName>
    <definedName name="\e" localSheetId="1">#REF!</definedName>
    <definedName name="\e">#REF!</definedName>
    <definedName name="\h">#REF!</definedName>
    <definedName name="\m">#REF!</definedName>
    <definedName name="\n">#REF!</definedName>
    <definedName name="\p">#REF!</definedName>
    <definedName name="\s">#REF!</definedName>
    <definedName name="\t">#REF!</definedName>
    <definedName name="\u">#REF!</definedName>
    <definedName name="\z">#REF!</definedName>
    <definedName name="_DUD7">#REF!</definedName>
    <definedName name="_ENT1">#REF!</definedName>
    <definedName name="_ENT2">#REF!</definedName>
    <definedName name="_ENT3">#REF!</definedName>
    <definedName name="_ENT4">#REF!</definedName>
    <definedName name="_ENT5">#REF!</definedName>
    <definedName name="_ENT6">#REF!</definedName>
    <definedName name="_ENT7">#REF!</definedName>
    <definedName name="_ENT8">#REF!</definedName>
    <definedName name="_ftn1" localSheetId="1">CapitalInvestment!#REF!</definedName>
    <definedName name="_ftn2" localSheetId="1">CapitalInvestment!$A$24</definedName>
    <definedName name="_ftn3" localSheetId="1">CapitalInvestment!$A$25</definedName>
    <definedName name="_ftnref1" localSheetId="1">CapitalInvestment!$A$4</definedName>
    <definedName name="_ftnref2" localSheetId="1">CapitalInvestment!$A$6</definedName>
    <definedName name="_ftnref3" localSheetId="1">CapitalInvestment!$A$13</definedName>
    <definedName name="_HAY1">#REF!</definedName>
    <definedName name="_Key1" localSheetId="1" hidden="1">#REF!</definedName>
    <definedName name="_Key1" hidden="1">#REF!</definedName>
    <definedName name="_Order1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Regression_Int" hidden="1">1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B1">#REF!</definedName>
    <definedName name="_XB10">#REF!</definedName>
    <definedName name="_XB11">#REF!</definedName>
    <definedName name="_XB12">#REF!</definedName>
    <definedName name="_XB2">#REF!</definedName>
    <definedName name="_XB3">#REF!</definedName>
    <definedName name="_XB4">#REF!</definedName>
    <definedName name="_XB5">#REF!</definedName>
    <definedName name="_XB6">#REF!</definedName>
    <definedName name="_XB7">#REF!</definedName>
    <definedName name="_XB8">#REF!</definedName>
    <definedName name="_XB9">#REF!</definedName>
    <definedName name="_XBC1">#REF!</definedName>
    <definedName name="_XBC10">#REF!</definedName>
    <definedName name="_XBC11">#REF!</definedName>
    <definedName name="_XBC12">#REF!</definedName>
    <definedName name="_XBC2">#REF!</definedName>
    <definedName name="_XBC3">#REF!</definedName>
    <definedName name="_XBC4">#REF!</definedName>
    <definedName name="_XBC5">#REF!</definedName>
    <definedName name="_XBC6">#REF!</definedName>
    <definedName name="_XBC7">#REF!</definedName>
    <definedName name="_XBC8">#REF!</definedName>
    <definedName name="_XBC9">#REF!</definedName>
    <definedName name="ALLO">#REF!</definedName>
    <definedName name="ALLOAC">#REF!</definedName>
    <definedName name="ALLOAC2">#REF!</definedName>
    <definedName name="ALLOAC3">#REF!</definedName>
    <definedName name="ALLOAC4">#REF!</definedName>
    <definedName name="ALLOAC5">#REF!</definedName>
    <definedName name="ALLOAC6">#REF!</definedName>
    <definedName name="ALLOAC7">#REF!</definedName>
    <definedName name="ALLOAC8">#REF!</definedName>
    <definedName name="ALLOACEND">#REF!</definedName>
    <definedName name="ALLOALL">#REF!</definedName>
    <definedName name="ALLOENTER">#REF!</definedName>
    <definedName name="ALLOREC">#REF!</definedName>
    <definedName name="ALLOTOTAL">#REF!</definedName>
    <definedName name="ALTERNATE">#REF!</definedName>
    <definedName name="AMARK">#REF!</definedName>
    <definedName name="ANALNAME">#REF!</definedName>
    <definedName name="ASSIGN">#REF!</definedName>
    <definedName name="BACK">#REF!</definedName>
    <definedName name="BARLEY1">#REF!</definedName>
    <definedName name="BEARDRV">#REF!</definedName>
    <definedName name="BRINGIN">#REF!</definedName>
    <definedName name="BRINGINALL">#REF!</definedName>
    <definedName name="CATTLE">#REF!</definedName>
    <definedName name="CHOICES">#REF!</definedName>
    <definedName name="COLE">#REF!</definedName>
    <definedName name="CORN1">#REF!</definedName>
    <definedName name="CORNER" localSheetId="1">#REF!</definedName>
    <definedName name="CORNER">#REF!</definedName>
    <definedName name="CORR" localSheetId="1">#REF!</definedName>
    <definedName name="CORR">#REF!</definedName>
    <definedName name="COUNTER" localSheetId="1">#REF!</definedName>
    <definedName name="COUNTER">#REF!</definedName>
    <definedName name="COUNTER2">#REF!</definedName>
    <definedName name="CRIT">#REF!</definedName>
    <definedName name="_xlnm.Criteria">LAMB!$AT$47:$AT$48</definedName>
    <definedName name="Criteria_MI" localSheetId="1">#REF!</definedName>
    <definedName name="Criteria_MI">#REF!</definedName>
    <definedName name="CROPS" localSheetId="1">#REF!</definedName>
    <definedName name="CROPS">#REF!</definedName>
    <definedName name="_xlnm.Database">LAMB!$AP$32:$BB$32</definedName>
    <definedName name="Database_MI" localSheetId="1">#REF!</definedName>
    <definedName name="Database_MI">#REF!</definedName>
    <definedName name="DCHECK" localSheetId="1">#REF!</definedName>
    <definedName name="DCHECK">#REF!</definedName>
    <definedName name="DCNT" localSheetId="1">#REF!</definedName>
    <definedName name="DCNT">#REF!</definedName>
    <definedName name="DEFAULT">#REF!</definedName>
    <definedName name="DEPT1">#REF!</definedName>
    <definedName name="DGOAT1">#REF!</definedName>
    <definedName name="DHEIFER1">#REF!</definedName>
    <definedName name="DRIVES" localSheetId="1">#REF!</definedName>
    <definedName name="DRIVES">#REF!</definedName>
    <definedName name="E_1" localSheetId="1">#REF!</definedName>
    <definedName name="E_1">#REF!</definedName>
    <definedName name="ECHECK" localSheetId="1">#REF!</definedName>
    <definedName name="ECHECK">#REF!</definedName>
    <definedName name="ENTERPRISE">#REF!</definedName>
    <definedName name="ENTNAME">#REF!</definedName>
    <definedName name="ENTNO">#REF!</definedName>
    <definedName name="ENTS">#REF!</definedName>
    <definedName name="ERASE">#REF!</definedName>
    <definedName name="ERRMSG">#REF!</definedName>
    <definedName name="ESCROUTE">#REF!</definedName>
    <definedName name="EVERGREEN">#REF!</definedName>
    <definedName name="EXCLUDE" localSheetId="1">#REF!</definedName>
    <definedName name="EXCLUDE">#REF!</definedName>
    <definedName name="EXPORT" localSheetId="1">#REF!</definedName>
    <definedName name="EXPORT">#REF!</definedName>
    <definedName name="FARM" localSheetId="1">#REF!</definedName>
    <definedName name="FARM">#REF!</definedName>
    <definedName name="FARMNAME">#REF!</definedName>
    <definedName name="FIELD">#REF!</definedName>
    <definedName name="FILE_EXT">#REF!</definedName>
    <definedName name="FILE_PATH">#REF!</definedName>
    <definedName name="FILEOPS">#REF!</definedName>
    <definedName name="FNAME">#REF!</definedName>
    <definedName name="FORAGE">#REF!</definedName>
    <definedName name="FORMAT">#REF!</definedName>
    <definedName name="FRUIT">#REF!</definedName>
    <definedName name="GAFFE10">#REF!</definedName>
    <definedName name="GAFFE2">#REF!</definedName>
    <definedName name="GAFFE3">#REF!</definedName>
    <definedName name="GAFFE4">#REF!</definedName>
    <definedName name="GAFFE5">#REF!</definedName>
    <definedName name="GAFFE6">#REF!</definedName>
    <definedName name="GAFFE7">#REF!</definedName>
    <definedName name="GAFFE8">#REF!</definedName>
    <definedName name="GAFFE9">#REF!</definedName>
    <definedName name="GFRUIT">#REF!</definedName>
    <definedName name="GOATS">#REF!</definedName>
    <definedName name="GRAIN">#REF!</definedName>
    <definedName name="GRAPES">#REF!</definedName>
    <definedName name="HELP" localSheetId="1">#REF!</definedName>
    <definedName name="HELP">#REF!</definedName>
    <definedName name="HORT" localSheetId="1">#REF!</definedName>
    <definedName name="HORT">#REF!</definedName>
    <definedName name="ID" localSheetId="1">#REF!</definedName>
    <definedName name="ID">#REF!</definedName>
    <definedName name="IFF">#REF!</definedName>
    <definedName name="INPUT">#REF!</definedName>
    <definedName name="JUNK">#REF!</definedName>
    <definedName name="KEY">#REF!</definedName>
    <definedName name="KEYLIST">#REF!</definedName>
    <definedName name="LAMBC1" localSheetId="1">#REF!</definedName>
    <definedName name="LAMBC1">LAMB!$A$2:$K$301</definedName>
    <definedName name="LAMBO1">#REF!</definedName>
    <definedName name="LASTCELL" localSheetId="1">#REF!</definedName>
    <definedName name="LASTCELL">#REF!</definedName>
    <definedName name="LAYER1">#REF!</definedName>
    <definedName name="LCNT" localSheetId="1">#REF!</definedName>
    <definedName name="LCNT">#REF!</definedName>
    <definedName name="LCOUNT" localSheetId="1">#REF!</definedName>
    <definedName name="LCOUNT">#REF!</definedName>
    <definedName name="LINE" localSheetId="1">#REF!</definedName>
    <definedName name="LINE">#REF!</definedName>
    <definedName name="LININ">#REF!</definedName>
    <definedName name="LIVESTOCK">#REF!</definedName>
    <definedName name="LOAN1">#REF!</definedName>
    <definedName name="LOGO">#REF!</definedName>
    <definedName name="MACROBLOCK">#REF!</definedName>
    <definedName name="MARKER1">#REF!</definedName>
    <definedName name="MENUBLOCK">#REF!</definedName>
    <definedName name="MESSAGE">#REF!</definedName>
    <definedName name="MGOAT1">#REF!</definedName>
    <definedName name="NAME">#REF!</definedName>
    <definedName name="NO">#REF!</definedName>
    <definedName name="NOREC">#REF!</definedName>
    <definedName name="NUMBER">#REF!</definedName>
    <definedName name="NUR">#REF!</definedName>
    <definedName name="OATS1" localSheetId="1">#REF!</definedName>
    <definedName name="OATS1">#REF!</definedName>
    <definedName name="OILS" localSheetId="1">#REF!</definedName>
    <definedName name="OILS">#REF!</definedName>
    <definedName name="OTHER" localSheetId="1">#REF!</definedName>
    <definedName name="OTHER">#REF!</definedName>
    <definedName name="OTHERLVSTK">#REF!</definedName>
    <definedName name="OTHERVEG">#REF!</definedName>
    <definedName name="OTHRFRT">#REF!</definedName>
    <definedName name="P_ALLO">#REF!</definedName>
    <definedName name="P_DEP_N">#REF!</definedName>
    <definedName name="P_LOANS">#REF!</definedName>
    <definedName name="P_RANGE">#REF!</definedName>
    <definedName name="P_TRANS">#REF!</definedName>
    <definedName name="P_WFC">#REF!</definedName>
    <definedName name="P_WFS">#REF!</definedName>
    <definedName name="PASSWORD">#REF!</definedName>
    <definedName name="PASTUR1">#REF!</definedName>
    <definedName name="PCHECK" localSheetId="1">#REF!</definedName>
    <definedName name="PCHECK">#REF!</definedName>
    <definedName name="PEABEAN" localSheetId="1">#REF!</definedName>
    <definedName name="PEABEAN">#REF!</definedName>
    <definedName name="PERCENT" localSheetId="1">#REF!</definedName>
    <definedName name="PERCENT">#REF!</definedName>
    <definedName name="PIGS">#REF!</definedName>
    <definedName name="POULTRY">#REF!</definedName>
    <definedName name="PREPARE">#REF!</definedName>
    <definedName name="PREPDATE">#REF!</definedName>
    <definedName name="PRINT">#REF!</definedName>
    <definedName name="_xlnm.Print_Area" localSheetId="1">CapitalInvestment!$A$1:$F$53</definedName>
    <definedName name="_xlnm.Print_Area" localSheetId="0">LAMB!$A$1:$X$157</definedName>
    <definedName name="_xlnm.Print_Area">LAMB!$B$420:$I$530</definedName>
    <definedName name="PRINT_AREA_MI" localSheetId="1">#REF!</definedName>
    <definedName name="PRINT_AREA_MI">#REF!</definedName>
    <definedName name="PRINTALL" localSheetId="1">#REF!</definedName>
    <definedName name="PRINTALL">#REF!</definedName>
    <definedName name="PRINTENT" localSheetId="1">#REF!</definedName>
    <definedName name="PRINTENT">#REF!</definedName>
    <definedName name="PRINTMENU">#REF!</definedName>
    <definedName name="PRTCHOICE">#REF!</definedName>
    <definedName name="PULLET1">#REF!</definedName>
    <definedName name="PULSES" localSheetId="1">#REF!</definedName>
    <definedName name="PULSES">#REF!</definedName>
    <definedName name="QCHOICE" localSheetId="1">#REF!</definedName>
    <definedName name="QCHOICE">#REF!</definedName>
    <definedName name="RECORD" localSheetId="1">#REF!</definedName>
    <definedName name="RECORD">#REF!</definedName>
    <definedName name="RET">#REF!</definedName>
    <definedName name="ROOT">#REF!</definedName>
    <definedName name="SAVE">#REF!</definedName>
    <definedName name="SAVE1">#REF!</definedName>
    <definedName name="SAVE2">#REF!</definedName>
    <definedName name="SCHOICE">#REF!</definedName>
    <definedName name="SELECT">#REF!</definedName>
    <definedName name="SELECTERR">#REF!</definedName>
    <definedName name="SELECTMSG">#REF!</definedName>
    <definedName name="SEND">#REF!</definedName>
    <definedName name="SEND2">#REF!</definedName>
    <definedName name="SHADE">#REF!</definedName>
    <definedName name="SHEEP" localSheetId="1">#REF!</definedName>
    <definedName name="SHEEP">#REF!</definedName>
    <definedName name="SHRUB">#REF!</definedName>
    <definedName name="SILAGE1">#REF!</definedName>
    <definedName name="STYPE" localSheetId="1">#REF!</definedName>
    <definedName name="STYPE">#REF!</definedName>
    <definedName name="SUBR" localSheetId="1">#REF!</definedName>
    <definedName name="SUBR">#REF!</definedName>
    <definedName name="SWHEAT1" localSheetId="1">#REF!</definedName>
    <definedName name="SWHEAT1">#REF!</definedName>
    <definedName name="TCOUNT">#REF!</definedName>
    <definedName name="TFRUIT">#REF!</definedName>
    <definedName name="TIMES">#REF!</definedName>
    <definedName name="TMARK">#REF!</definedName>
    <definedName name="TO_CELL">#REF!</definedName>
    <definedName name="TRANS">#REF!</definedName>
    <definedName name="TRANSF">#REF!</definedName>
    <definedName name="TREC">#REF!</definedName>
    <definedName name="TURKEY1">#REF!</definedName>
    <definedName name="UPDATE" localSheetId="1">#REF!</definedName>
    <definedName name="UPDATE">#REF!</definedName>
    <definedName name="VEAL1" localSheetId="1">#REF!</definedName>
    <definedName name="VEAL1">#REF!</definedName>
    <definedName name="VEG" localSheetId="1">#REF!</definedName>
    <definedName name="VEG">#REF!</definedName>
    <definedName name="VINE">#REF!</definedName>
    <definedName name="WFARMC" localSheetId="1">#REF!</definedName>
    <definedName name="WFARMC">#REF!</definedName>
    <definedName name="WFARMS" localSheetId="1">#REF!</definedName>
    <definedName name="WFARMS">#REF!</definedName>
    <definedName name="WMARK" localSheetId="1">#REF!</definedName>
    <definedName name="WMARK">#REF!</definedName>
    <definedName name="WORKDRV">#REF!</definedName>
    <definedName name="WORKNOS">#REF!</definedName>
    <definedName name="WORKNUMS">#REF!</definedName>
    <definedName name="WORKON">#REF!</definedName>
    <definedName name="WWHEAT1">#REF!</definedName>
    <definedName name="XCHOICE">#REF!</definedName>
    <definedName name="XDATA">#REF!</definedName>
    <definedName name="XNAME">#REF!</definedName>
    <definedName name="XSAVE">#REF!</definedName>
    <definedName name="XSAVE1">#REF!</definedName>
    <definedName name="XSAVE2">#REF!</definedName>
    <definedName name="Y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6" i="1" l="1"/>
  <c r="AI39" i="1" s="1"/>
  <c r="AI40" i="1" l="1"/>
  <c r="AI38" i="1"/>
  <c r="AI44" i="1"/>
  <c r="AI43" i="1"/>
  <c r="AI37" i="1"/>
  <c r="AI42" i="1"/>
  <c r="AI45" i="1"/>
  <c r="AI41" i="1"/>
  <c r="B46" i="1"/>
  <c r="AI46" i="1" l="1"/>
  <c r="AB6" i="1"/>
  <c r="H9" i="1" s="1"/>
  <c r="J75" i="1"/>
  <c r="AA119" i="1"/>
  <c r="AA116" i="1"/>
  <c r="AA107" i="1"/>
  <c r="AA103" i="1"/>
  <c r="AA101" i="1"/>
  <c r="AA99" i="1"/>
  <c r="AA93" i="1"/>
  <c r="AA91" i="1"/>
  <c r="AA85" i="1"/>
  <c r="G83" i="1" s="1"/>
  <c r="AA71" i="1"/>
  <c r="H73" i="1" s="1"/>
  <c r="B5" i="2" l="1"/>
  <c r="C5" i="2" s="1"/>
  <c r="J19" i="2"/>
  <c r="H19" i="2"/>
  <c r="E40" i="2" s="1"/>
  <c r="L18" i="2"/>
  <c r="E18" i="2"/>
  <c r="H18" i="2" s="1"/>
  <c r="J13" i="2"/>
  <c r="H13" i="2"/>
  <c r="J12" i="2"/>
  <c r="H12" i="2"/>
  <c r="J11" i="2"/>
  <c r="H11" i="2"/>
  <c r="J10" i="2"/>
  <c r="H10" i="2"/>
  <c r="J8" i="2"/>
  <c r="H8" i="2"/>
  <c r="J7" i="2"/>
  <c r="H7" i="2"/>
  <c r="E6" i="2"/>
  <c r="J6" i="2" s="1"/>
  <c r="C6" i="2"/>
  <c r="L6" i="2" s="1"/>
  <c r="E31" i="2" l="1"/>
  <c r="AD19" i="2"/>
  <c r="AD18" i="2"/>
  <c r="E39" i="2"/>
  <c r="L5" i="2"/>
  <c r="E5" i="2"/>
  <c r="H6" i="2"/>
  <c r="E38" i="2"/>
  <c r="AD10" i="2"/>
  <c r="E32" i="2"/>
  <c r="J18" i="2"/>
  <c r="E33" i="2"/>
  <c r="E53" i="2"/>
  <c r="J5" i="2" l="1"/>
  <c r="H5" i="2"/>
  <c r="E37" i="2" l="1"/>
  <c r="E52" i="2"/>
  <c r="E30" i="2"/>
  <c r="E22" i="2"/>
  <c r="AD4" i="2"/>
  <c r="AD22" i="2" s="1"/>
  <c r="E49" i="2" s="1"/>
  <c r="E41" i="2" l="1"/>
  <c r="AB13" i="1" l="1"/>
  <c r="E27" i="1"/>
  <c r="AB12" i="1"/>
  <c r="E26" i="1"/>
  <c r="F27" i="1" l="1"/>
  <c r="AA3" i="1" l="1"/>
  <c r="I16" i="1" s="1"/>
  <c r="AA6" i="1"/>
  <c r="D21" i="1" s="1"/>
  <c r="AA7" i="1"/>
  <c r="F21" i="1" s="1"/>
  <c r="AA8" i="1"/>
  <c r="H21" i="1" s="1"/>
  <c r="AA40" i="1"/>
  <c r="G48" i="1" s="1"/>
  <c r="AA60" i="1"/>
  <c r="F63" i="1" s="1"/>
  <c r="AA106" i="1"/>
  <c r="E96" i="1" s="1"/>
  <c r="AA109" i="1"/>
  <c r="E97" i="1" s="1"/>
  <c r="AA112" i="1"/>
  <c r="E98" i="1" s="1"/>
  <c r="AA115" i="1"/>
  <c r="E99" i="1" s="1"/>
  <c r="AA118" i="1"/>
  <c r="E100" i="1" s="1"/>
  <c r="AA121" i="1"/>
  <c r="E103" i="1" s="1"/>
  <c r="AA128" i="1"/>
  <c r="E109" i="1" s="1"/>
  <c r="AA131" i="1"/>
  <c r="E110" i="1" s="1"/>
  <c r="AA134" i="1"/>
  <c r="E111" i="1" s="1"/>
  <c r="AA137" i="1"/>
  <c r="E112" i="1" s="1"/>
  <c r="AA159" i="1"/>
  <c r="I125" i="1" s="1"/>
  <c r="AA11" i="1" l="1"/>
  <c r="H7" i="1" s="1"/>
  <c r="AE44" i="1" s="1"/>
  <c r="AA37" i="1" s="1"/>
  <c r="AA12" i="1"/>
  <c r="C26" i="1" s="1"/>
  <c r="AE42" i="1" l="1"/>
  <c r="AE41" i="1"/>
  <c r="AE37" i="1"/>
  <c r="AE43" i="1"/>
  <c r="AE39" i="1"/>
  <c r="AE40" i="1"/>
  <c r="AE38" i="1"/>
  <c r="AE45" i="1"/>
  <c r="F76" i="1"/>
  <c r="AA75" i="1" s="1"/>
  <c r="H76" i="1" s="1"/>
  <c r="F79" i="1"/>
  <c r="AA81" i="1" s="1"/>
  <c r="H79" i="1" s="1"/>
  <c r="F78" i="1"/>
  <c r="AA79" i="1" s="1"/>
  <c r="H78" i="1" s="1"/>
  <c r="F77" i="1"/>
  <c r="AA77" i="1" s="1"/>
  <c r="H77" i="1" s="1"/>
  <c r="F75" i="1"/>
  <c r="AA73" i="1" s="1"/>
  <c r="H75" i="1" s="1"/>
  <c r="AB17" i="1"/>
  <c r="C27" i="1" s="1"/>
  <c r="AB15" i="1" s="1"/>
  <c r="H27" i="1" s="1"/>
  <c r="F39" i="2"/>
  <c r="F38" i="2"/>
  <c r="F33" i="2"/>
  <c r="F32" i="2"/>
  <c r="F31" i="2"/>
  <c r="D97" i="1" s="1"/>
  <c r="AA110" i="1" s="1"/>
  <c r="F53" i="2"/>
  <c r="F40" i="2"/>
  <c r="F22" i="2"/>
  <c r="F49" i="2"/>
  <c r="D110" i="1" s="1"/>
  <c r="F52" i="2"/>
  <c r="F30" i="2"/>
  <c r="D98" i="1" s="1"/>
  <c r="AA113" i="1" s="1"/>
  <c r="F37" i="2"/>
  <c r="G22" i="1"/>
  <c r="F41" i="2"/>
  <c r="D109" i="1" s="1"/>
  <c r="I20" i="1"/>
  <c r="AA161" i="1" s="1"/>
  <c r="I126" i="1" s="1"/>
  <c r="AA163" i="1" s="1"/>
  <c r="I127" i="1" s="1"/>
  <c r="AA41" i="1"/>
  <c r="H48" i="1" s="1"/>
  <c r="AA59" i="1"/>
  <c r="E63" i="1" s="1"/>
  <c r="AA17" i="1"/>
  <c r="AA105" i="1"/>
  <c r="AA127" i="1"/>
  <c r="AA165" i="1"/>
  <c r="I128" i="1" s="1"/>
  <c r="AA13" i="1"/>
  <c r="K23" i="1" s="1"/>
  <c r="AA68" i="1"/>
  <c r="AA58" i="1"/>
  <c r="AA24" i="1" l="1"/>
  <c r="AF38" i="1"/>
  <c r="C38" i="1" s="1"/>
  <c r="AA29" i="1"/>
  <c r="AF40" i="1"/>
  <c r="C40" i="1" s="1"/>
  <c r="AF44" i="1"/>
  <c r="C44" i="1" s="1"/>
  <c r="AA27" i="1"/>
  <c r="H39" i="1" s="1"/>
  <c r="AF39" i="1"/>
  <c r="C39" i="1" s="1"/>
  <c r="AA35" i="1"/>
  <c r="AF43" i="1"/>
  <c r="C43" i="1" s="1"/>
  <c r="AA21" i="1"/>
  <c r="AF37" i="1"/>
  <c r="C37" i="1" s="1"/>
  <c r="AA31" i="1"/>
  <c r="AF41" i="1"/>
  <c r="C41" i="1" s="1"/>
  <c r="AA39" i="1"/>
  <c r="AF45" i="1"/>
  <c r="C45" i="1" s="1"/>
  <c r="AA33" i="1"/>
  <c r="AF42" i="1"/>
  <c r="C42" i="1" s="1"/>
  <c r="D111" i="1"/>
  <c r="AA136" i="1" s="1"/>
  <c r="H111" i="1" s="1"/>
  <c r="AA135" i="1" s="1"/>
  <c r="G111" i="1" s="1"/>
  <c r="AA87" i="1"/>
  <c r="G84" i="1" s="1"/>
  <c r="AA88" i="1" s="1"/>
  <c r="H84" i="1" s="1"/>
  <c r="AA95" i="1"/>
  <c r="G88" i="1" s="1"/>
  <c r="AA97" i="1"/>
  <c r="AA69" i="1"/>
  <c r="G69" i="1" s="1"/>
  <c r="AA70" i="1" s="1"/>
  <c r="H69" i="1" s="1"/>
  <c r="AA89" i="1"/>
  <c r="G85" i="1" s="1"/>
  <c r="AA72" i="1"/>
  <c r="G73" i="1" s="1"/>
  <c r="AA139" i="1"/>
  <c r="H112" i="1" s="1"/>
  <c r="AA138" i="1" s="1"/>
  <c r="G112" i="1" s="1"/>
  <c r="AA133" i="1"/>
  <c r="H110" i="1" s="1"/>
  <c r="AA132" i="1" s="1"/>
  <c r="G110" i="1" s="1"/>
  <c r="AA130" i="1"/>
  <c r="H109" i="1" s="1"/>
  <c r="AA129" i="1" s="1"/>
  <c r="G109" i="1" s="1"/>
  <c r="AA86" i="1"/>
  <c r="H83" i="1" s="1"/>
  <c r="AA74" i="1"/>
  <c r="G75" i="1" s="1"/>
  <c r="AA78" i="1"/>
  <c r="G77" i="1" s="1"/>
  <c r="AA82" i="1"/>
  <c r="G79" i="1" s="1"/>
  <c r="AA76" i="1"/>
  <c r="G76" i="1" s="1"/>
  <c r="AF32" i="2"/>
  <c r="D48" i="1"/>
  <c r="G92" i="1"/>
  <c r="G87" i="1"/>
  <c r="G97" i="1"/>
  <c r="AA111" i="1" s="1"/>
  <c r="H97" i="1" s="1"/>
  <c r="AA48" i="1"/>
  <c r="G54" i="1" s="1"/>
  <c r="AA49" i="1" s="1"/>
  <c r="H54" i="1" s="1"/>
  <c r="G89" i="1"/>
  <c r="G96" i="1"/>
  <c r="AA108" i="1" s="1"/>
  <c r="H96" i="1" s="1"/>
  <c r="AF31" i="2"/>
  <c r="G86" i="1"/>
  <c r="G100" i="1"/>
  <c r="AA120" i="1" s="1"/>
  <c r="H100" i="1" s="1"/>
  <c r="AA54" i="1"/>
  <c r="G57" i="1" s="1"/>
  <c r="AA55" i="1" s="1"/>
  <c r="H57" i="1" s="1"/>
  <c r="AA61" i="1"/>
  <c r="AA16" i="1"/>
  <c r="AA44" i="1"/>
  <c r="G52" i="1" s="1"/>
  <c r="AA45" i="1" s="1"/>
  <c r="H52" i="1" s="1"/>
  <c r="AA46" i="1"/>
  <c r="G53" i="1" s="1"/>
  <c r="AA47" i="1" s="1"/>
  <c r="H53" i="1" s="1"/>
  <c r="AA50" i="1"/>
  <c r="G55" i="1" s="1"/>
  <c r="AA51" i="1" s="1"/>
  <c r="H55" i="1" s="1"/>
  <c r="AA67" i="1"/>
  <c r="G91" i="1"/>
  <c r="AA167" i="1"/>
  <c r="I129" i="1" s="1"/>
  <c r="AA10" i="1" s="1"/>
  <c r="K19" i="1" s="1"/>
  <c r="AA65" i="1"/>
  <c r="AA52" i="1"/>
  <c r="G56" i="1" s="1"/>
  <c r="AA53" i="1" s="1"/>
  <c r="H56" i="1" s="1"/>
  <c r="AA63" i="1"/>
  <c r="AA42" i="1"/>
  <c r="G51" i="1" s="1"/>
  <c r="AA43" i="1" s="1"/>
  <c r="H51" i="1" s="1"/>
  <c r="G99" i="1"/>
  <c r="AA117" i="1" s="1"/>
  <c r="H99" i="1" s="1"/>
  <c r="G90" i="1"/>
  <c r="AF38" i="2"/>
  <c r="AF39" i="2"/>
  <c r="F26" i="1"/>
  <c r="AB14" i="1" s="1"/>
  <c r="AA141" i="1" l="1"/>
  <c r="H114" i="1" s="1"/>
  <c r="AA140" i="1" s="1"/>
  <c r="G114" i="1" s="1"/>
  <c r="AA102" i="1"/>
  <c r="H91" i="1" s="1"/>
  <c r="AA98" i="1"/>
  <c r="H89" i="1" s="1"/>
  <c r="AA104" i="1"/>
  <c r="H92" i="1" s="1"/>
  <c r="F68" i="1"/>
  <c r="H108" i="1"/>
  <c r="F82" i="1"/>
  <c r="AA92" i="1"/>
  <c r="H86" i="1" s="1"/>
  <c r="AA100" i="1"/>
  <c r="H90" i="1" s="1"/>
  <c r="AA94" i="1"/>
  <c r="H87" i="1" s="1"/>
  <c r="AA90" i="1"/>
  <c r="H85" i="1" s="1"/>
  <c r="AA96" i="1"/>
  <c r="H88" i="1" s="1"/>
  <c r="AA168" i="1"/>
  <c r="I130" i="1" s="1"/>
  <c r="H62" i="1"/>
  <c r="H95" i="1"/>
  <c r="H68" i="1"/>
  <c r="H25" i="1"/>
  <c r="G64" i="1"/>
  <c r="AA64" i="1" s="1"/>
  <c r="H64" i="1" s="1"/>
  <c r="H34" i="1"/>
  <c r="G65" i="1"/>
  <c r="AA66" i="1" s="1"/>
  <c r="H65" i="1" s="1"/>
  <c r="G63" i="1"/>
  <c r="AA62" i="1" s="1"/>
  <c r="H63" i="1" s="1"/>
  <c r="H26" i="1"/>
  <c r="AB16" i="1"/>
  <c r="AA22" i="1" l="1"/>
  <c r="K28" i="1" s="1"/>
  <c r="AA5" i="1"/>
  <c r="K17" i="1" s="1"/>
  <c r="AA25" i="1"/>
  <c r="K29" i="1" s="1"/>
  <c r="AA149" i="1"/>
  <c r="F122" i="1" s="1"/>
  <c r="AA148" i="1" s="1"/>
  <c r="E122" i="1" s="1"/>
  <c r="AA19" i="1"/>
  <c r="K27" i="1" s="1"/>
  <c r="AA14" i="1"/>
  <c r="K24" i="1" s="1"/>
  <c r="H29" i="1"/>
  <c r="AA142" i="1"/>
  <c r="E118" i="1" s="1"/>
  <c r="AA143" i="1" s="1"/>
  <c r="F118" i="1" s="1"/>
  <c r="AA183" i="1" s="1"/>
  <c r="G132" i="1" s="1"/>
  <c r="AA153" i="1" l="1"/>
  <c r="G128" i="1" s="1"/>
  <c r="AA9" i="1"/>
  <c r="K18" i="1" s="1"/>
  <c r="AA157" i="1"/>
  <c r="G136" i="1" s="1"/>
  <c r="H37" i="1" l="1"/>
  <c r="AA20" i="1" l="1"/>
  <c r="G37" i="1" s="1"/>
  <c r="H38" i="1"/>
  <c r="AA23" i="1" l="1"/>
  <c r="G38" i="1" s="1"/>
  <c r="H40" i="1"/>
  <c r="AA28" i="1" s="1"/>
  <c r="G40" i="1" s="1"/>
  <c r="H44" i="1"/>
  <c r="AA36" i="1" s="1"/>
  <c r="G44" i="1" s="1"/>
  <c r="H41" i="1"/>
  <c r="H42" i="1"/>
  <c r="AA32" i="1" s="1"/>
  <c r="G42" i="1" s="1"/>
  <c r="AA26" i="1" l="1"/>
  <c r="G39" i="1" s="1"/>
  <c r="AA30" i="1"/>
  <c r="G41" i="1" s="1"/>
  <c r="H43" i="1"/>
  <c r="AA34" i="1" s="1"/>
  <c r="G43" i="1" s="1"/>
  <c r="H45" i="1"/>
  <c r="AA38" i="1" s="1"/>
  <c r="G45" i="1" s="1"/>
  <c r="AA57" i="1"/>
  <c r="H59" i="1" s="1"/>
  <c r="AA15" i="1"/>
  <c r="K25" i="1" s="1"/>
  <c r="AA56" i="1" l="1"/>
  <c r="G59" i="1" s="1"/>
  <c r="AA80" i="1"/>
  <c r="G78" i="1" s="1"/>
  <c r="AA83" i="1" s="1"/>
  <c r="G80" i="1" s="1"/>
  <c r="AA84" i="1"/>
  <c r="H80" i="1" s="1"/>
  <c r="I73" i="1" s="1"/>
  <c r="J73" i="1" s="1"/>
  <c r="J74" i="1" s="1"/>
  <c r="J76" i="1" s="1"/>
  <c r="AA18" i="1" l="1"/>
  <c r="K26" i="1" s="1"/>
  <c r="G98" i="1"/>
  <c r="AA114" i="1" s="1"/>
  <c r="H98" i="1" s="1"/>
  <c r="AA126" i="1" s="1"/>
  <c r="J85" i="1" s="1"/>
  <c r="AA123" i="1" s="1"/>
  <c r="H103" i="1" s="1"/>
  <c r="AA125" i="1" s="1"/>
  <c r="H105" i="1" s="1"/>
  <c r="AA4" i="1" l="1"/>
  <c r="K16" i="1" s="1"/>
  <c r="AA145" i="1"/>
  <c r="F119" i="1" s="1"/>
  <c r="AA124" i="1"/>
  <c r="G105" i="1" s="1"/>
  <c r="AA122" i="1"/>
  <c r="G103" i="1" s="1"/>
  <c r="AA144" i="1" l="1"/>
  <c r="E119" i="1" s="1"/>
  <c r="AA152" i="1"/>
  <c r="AA147" i="1"/>
  <c r="F121" i="1" s="1"/>
  <c r="G127" i="1" l="1"/>
  <c r="AA154" i="1" s="1"/>
  <c r="G130" i="1" s="1"/>
  <c r="AA146" i="1"/>
  <c r="E121" i="1" s="1"/>
  <c r="AA151" i="1"/>
  <c r="F124" i="1" s="1"/>
  <c r="AA150" i="1" s="1"/>
  <c r="E124" i="1" s="1"/>
  <c r="AA169" i="1" l="1"/>
  <c r="I132" i="1" s="1"/>
  <c r="AA2" i="1"/>
  <c r="H3" i="1" s="1"/>
  <c r="AA158" i="1"/>
  <c r="C141" i="1" s="1"/>
  <c r="AA175" i="1"/>
  <c r="F150" i="1" s="1"/>
  <c r="AA166" i="1"/>
  <c r="C145" i="1" s="1"/>
  <c r="AA162" i="1"/>
  <c r="C143" i="1" s="1"/>
  <c r="AA164" i="1"/>
  <c r="C144" i="1" s="1"/>
  <c r="AA160" i="1"/>
  <c r="C142" i="1" s="1"/>
  <c r="AA170" i="1"/>
  <c r="J132" i="1" s="1"/>
  <c r="AA171" i="1" l="1"/>
  <c r="K132" i="1" s="1"/>
  <c r="AA177" i="1"/>
  <c r="J134" i="1" s="1"/>
  <c r="AA173" i="1"/>
  <c r="J133" i="1" s="1"/>
  <c r="AA176" i="1"/>
  <c r="I134" i="1" s="1"/>
  <c r="AA172" i="1"/>
  <c r="I133" i="1" s="1"/>
  <c r="AA181" i="1" l="1"/>
  <c r="J135" i="1" s="1"/>
  <c r="AA156" i="1" s="1"/>
  <c r="G135" i="1" s="1"/>
  <c r="AA180" i="1"/>
  <c r="I135" i="1" s="1"/>
  <c r="AA155" i="1" s="1"/>
  <c r="G134" i="1" s="1"/>
  <c r="AA174" i="1"/>
  <c r="K133" i="1" s="1"/>
  <c r="AA178" i="1"/>
  <c r="K134" i="1" s="1"/>
  <c r="AA182" i="1" l="1"/>
  <c r="K135" i="1" s="1"/>
  <c r="AA179" i="1" s="1"/>
  <c r="F1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molenhuisjo</author>
    <author>Molenhuis, John (OMAFRA)</author>
  </authors>
  <commentList>
    <comment ref="D16" authorId="0" shapeId="0" xr:uid="{6824D74A-BEEC-4D43-AFAB-7093C5CE094F}">
      <text>
        <r>
          <rPr>
            <b/>
            <sz val="12"/>
            <color indexed="81"/>
            <rFont val="Tahoma"/>
            <family val="2"/>
          </rPr>
          <t>The Optimistic estimate is what you would reasonably expect to be seen at least 1 out of every 6 years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 xr:uid="{6AC519C2-BA6C-4409-8558-167266F490D3}">
      <text>
        <r>
          <rPr>
            <b/>
            <sz val="12"/>
            <color indexed="81"/>
            <rFont val="Tahoma"/>
            <family val="2"/>
          </rPr>
          <t>The Expected outcome is the most likely outcome you expect this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 shapeId="0" xr:uid="{4521F680-A9D6-4760-9C22-5C6182AAE827}">
      <text>
        <r>
          <rPr>
            <b/>
            <sz val="12"/>
            <color indexed="81"/>
            <rFont val="Tahoma"/>
            <family val="2"/>
          </rPr>
          <t xml:space="preserve">The Pessimistic expectation should be the poorest result you would reasonably expect to occur 1 out of every 6 years 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68" authorId="0" shapeId="0" xr:uid="{0B51F88C-44EF-4727-AF40-08B5465F0DC4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68" authorId="0" shapeId="0" xr:uid="{002DFB0E-6FAF-4214-979E-A16DDA916903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71" authorId="1" shapeId="0" xr:uid="{4F39CC82-761F-4AD8-9D7C-CEFB59423279}">
      <text>
        <r>
          <rPr>
            <sz val="12"/>
            <color indexed="81"/>
            <rFont val="Tahoma"/>
            <family val="2"/>
          </rPr>
          <t xml:space="preserve">Contact your veterinarian to develop a health program. 
Establishment of a Veterinarian-Client-Patient-Relationship (VCPR) is required before antimicrobials or any prescription product may be prescribed for animals. </t>
        </r>
      </text>
    </comment>
    <comment ref="E82" authorId="0" shapeId="0" xr:uid="{BE0CD40A-4CCA-472C-B2D1-E1D53E615532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82" authorId="0" shapeId="0" xr:uid="{09766CC8-E686-42DB-8E86-E683BA70FE8F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<sst xmlns="http://schemas.openxmlformats.org/spreadsheetml/2006/main" count="299" uniqueCount="240">
  <si>
    <t>Lambc 1</t>
  </si>
  <si>
    <t>Profit Per Lamb:</t>
  </si>
  <si>
    <t>Revised: July 94</t>
  </si>
  <si>
    <t>Barn Capacity</t>
  </si>
  <si>
    <t>head</t>
  </si>
  <si>
    <t>On average barn is kept at</t>
  </si>
  <si>
    <t>% of capacity</t>
  </si>
  <si>
    <t>Weight of Purchased Lambs</t>
  </si>
  <si>
    <t>lbs</t>
  </si>
  <si>
    <t>Finished Weight</t>
  </si>
  <si>
    <t>Price of Wool</t>
  </si>
  <si>
    <t>cents/lb</t>
  </si>
  <si>
    <t>Wool Yield</t>
  </si>
  <si>
    <t>lbs/head</t>
  </si>
  <si>
    <t>Optimistic</t>
  </si>
  <si>
    <t xml:space="preserve"> Expected</t>
  </si>
  <si>
    <t xml:space="preserve">   Pessimistic</t>
  </si>
  <si>
    <t>Feeder Lambs</t>
  </si>
  <si>
    <t>Death Loss</t>
  </si>
  <si>
    <t>%</t>
  </si>
  <si>
    <t>Avg Daily Gain over Year - lbs</t>
  </si>
  <si>
    <t>Days in Lot</t>
  </si>
  <si>
    <t>days</t>
  </si>
  <si>
    <t>Number of Lambs to Base Variable Costs on ==&gt;</t>
  </si>
  <si>
    <t>**</t>
  </si>
  <si>
    <t>Tran!D3..G14</t>
  </si>
  <si>
    <t>Allo!C3..J14</t>
  </si>
  <si>
    <t>**(Enter the herd size used to determine variable costs)</t>
  </si>
  <si>
    <t>EXPENSES</t>
  </si>
  <si>
    <t>Typical</t>
  </si>
  <si>
    <t>$/Year</t>
  </si>
  <si>
    <t xml:space="preserve"> Variable Costs:</t>
  </si>
  <si>
    <t>$/Lamb</t>
  </si>
  <si>
    <t xml:space="preserve">       #2</t>
  </si>
  <si>
    <t xml:space="preserve"> </t>
  </si>
  <si>
    <t xml:space="preserve">       #3</t>
  </si>
  <si>
    <t>Homegrown Feed  (from transfer table)</t>
  </si>
  <si>
    <t xml:space="preserve"> Crop Transfers (based on </t>
  </si>
  <si>
    <t>Lambs)</t>
  </si>
  <si>
    <t xml:space="preserve"> *** (Input ONLY if NOT using Crop Transfer table) ***</t>
  </si>
  <si>
    <t>Pasture#1</t>
  </si>
  <si>
    <t xml:space="preserve"> Improved</t>
  </si>
  <si>
    <t xml:space="preserve"> Unimpoved</t>
  </si>
  <si>
    <t>Hay    #1</t>
  </si>
  <si>
    <t>Grain  #1</t>
  </si>
  <si>
    <t>-</t>
  </si>
  <si>
    <t xml:space="preserve">   -----</t>
  </si>
  <si>
    <t>Total Feed Costs</t>
  </si>
  <si>
    <t xml:space="preserve"> Livestock Replacement</t>
  </si>
  <si>
    <t>Head</t>
  </si>
  <si>
    <t>$/Head</t>
  </si>
  <si>
    <t xml:space="preserve">  Purchase of Lambs</t>
  </si>
  <si>
    <t xml:space="preserve">  Replacement Ewe Purchase</t>
  </si>
  <si>
    <t xml:space="preserve">  Other -</t>
  </si>
  <si>
    <t xml:space="preserve"> Description</t>
  </si>
  <si>
    <t xml:space="preserve"> Hired Labour</t>
  </si>
  <si>
    <t xml:space="preserve"> Insurance</t>
  </si>
  <si>
    <t xml:space="preserve"> Bedding</t>
  </si>
  <si>
    <t xml:space="preserve"> Marketing</t>
  </si>
  <si>
    <t xml:space="preserve"> Transportation</t>
  </si>
  <si>
    <t xml:space="preserve"> Livestock Supplies</t>
  </si>
  <si>
    <t xml:space="preserve"> Custom Work</t>
  </si>
  <si>
    <t xml:space="preserve"> Shearing</t>
  </si>
  <si>
    <t xml:space="preserve"> Enterprise</t>
  </si>
  <si>
    <t xml:space="preserve"> $/Lamb</t>
  </si>
  <si>
    <t xml:space="preserve"> $ Allocated</t>
  </si>
  <si>
    <t xml:space="preserve"> Fuel</t>
  </si>
  <si>
    <t xml:space="preserve"> Mach. Repair &amp; Maint.</t>
  </si>
  <si>
    <t xml:space="preserve"> Bldg. Repair &amp; Maint.</t>
  </si>
  <si>
    <t>Wfarm!L4</t>
  </si>
  <si>
    <t xml:space="preserve"> General Variable Costs</t>
  </si>
  <si>
    <t>Wfarm!L5</t>
  </si>
  <si>
    <t>Wfarm!L6</t>
  </si>
  <si>
    <t>Interest on</t>
  </si>
  <si>
    <t>%int</t>
  </si>
  <si>
    <t>%year</t>
  </si>
  <si>
    <t>Wfarm!L7</t>
  </si>
  <si>
    <t>Operating Capital</t>
  </si>
  <si>
    <t>Wfarm!L8</t>
  </si>
  <si>
    <t>Total Variable Costs</t>
  </si>
  <si>
    <t>Wfarm!L9</t>
  </si>
  <si>
    <t>Fixed Costs:</t>
  </si>
  <si>
    <t xml:space="preserve"> Depreciation</t>
  </si>
  <si>
    <t xml:space="preserve"> General Fixed Costs</t>
  </si>
  <si>
    <t>Wfarm!K4</t>
  </si>
  <si>
    <t>Wfarm!K5</t>
  </si>
  <si>
    <t>Total Fixed Costs</t>
  </si>
  <si>
    <t>Wfarm!K6</t>
  </si>
  <si>
    <t>Wfarm!K7</t>
  </si>
  <si>
    <t>Revenues:</t>
  </si>
  <si>
    <t>Total Expected Revenues</t>
  </si>
  <si>
    <t xml:space="preserve">    less: Variable Costs</t>
  </si>
  <si>
    <t>Expected Operating Margin</t>
  </si>
  <si>
    <t xml:space="preserve">    less: Fixed Costs</t>
  </si>
  <si>
    <t>Expected Net Revenue</t>
  </si>
  <si>
    <t xml:space="preserve">Expected Break-even cents/lb </t>
  </si>
  <si>
    <t>for Lambs Sold, Needed to Cover:</t>
  </si>
  <si>
    <t>Variable Costs</t>
  </si>
  <si>
    <t>Fixed Costs</t>
  </si>
  <si>
    <t xml:space="preserve">  -------</t>
  </si>
  <si>
    <t>Total Costs</t>
  </si>
  <si>
    <t>Chance of at least breaking even       ==&gt;</t>
  </si>
  <si>
    <t>Chance of at least</t>
  </si>
  <si>
    <t>$/hd return ==&gt;</t>
  </si>
  <si>
    <t>Coefficient of variation               ==&gt;</t>
  </si>
  <si>
    <t>Chances of at least</t>
  </si>
  <si>
    <t>Returns $/Head</t>
  </si>
  <si>
    <t>this return per head</t>
  </si>
  <si>
    <t xml:space="preserve">       17 %</t>
  </si>
  <si>
    <t>StdPe</t>
  </si>
  <si>
    <t xml:space="preserve">       33 %</t>
  </si>
  <si>
    <t>StdQe</t>
  </si>
  <si>
    <t xml:space="preserve">       50 %</t>
  </si>
  <si>
    <t>Var(PeQe)</t>
  </si>
  <si>
    <t xml:space="preserve">       67 %</t>
  </si>
  <si>
    <t>VarPp</t>
  </si>
  <si>
    <t xml:space="preserve">       83 %</t>
  </si>
  <si>
    <t>StdSum</t>
  </si>
  <si>
    <t>hdstd</t>
  </si>
  <si>
    <t xml:space="preserve">   b.e.</t>
  </si>
  <si>
    <t xml:space="preserve"> +profit</t>
  </si>
  <si>
    <t>Given costs and revenues as inputted above,</t>
  </si>
  <si>
    <t>z</t>
  </si>
  <si>
    <t>but with feeder lambs purchased at</t>
  </si>
  <si>
    <t>v1</t>
  </si>
  <si>
    <t>then the expected return per head is</t>
  </si>
  <si>
    <t>v2</t>
  </si>
  <si>
    <t>Chance of at least breaking even is</t>
  </si>
  <si>
    <t>p(vx)</t>
  </si>
  <si>
    <t>This is a cost of production budgeting tool that has 2 worksheets. There are fields that can be completed by the user. It is up to 21 columns wide and 252 rows.</t>
  </si>
  <si>
    <t xml:space="preserve"> Revised: 2024</t>
  </si>
  <si>
    <t>Feed</t>
  </si>
  <si>
    <t>LAMB FINISHING ENTERPRISE BUDGET</t>
  </si>
  <si>
    <t>Market Lambs</t>
  </si>
  <si>
    <t>REVENUE</t>
  </si>
  <si>
    <t>Market lambs</t>
  </si>
  <si>
    <t>Wool</t>
  </si>
  <si>
    <t>% of lambs shorn</t>
  </si>
  <si>
    <t>---------------</t>
  </si>
  <si>
    <t>$/lb</t>
  </si>
  <si>
    <t>Lb/Lamb</t>
  </si>
  <si>
    <t>Finishing ration</t>
  </si>
  <si>
    <t>Bedding</t>
  </si>
  <si>
    <t>Pasture</t>
  </si>
  <si>
    <t>Mineral</t>
  </si>
  <si>
    <t>Salt</t>
  </si>
  <si>
    <t>Hay</t>
  </si>
  <si>
    <t>Corn</t>
  </si>
  <si>
    <t>Price ($/lb)</t>
  </si>
  <si>
    <t>Other</t>
  </si>
  <si>
    <t>This budget is designed for feedlot lambs which are continuously turned over in a lot maintained close to capacity year round.</t>
  </si>
  <si>
    <t>Capital Investments</t>
  </si>
  <si>
    <t>Total</t>
  </si>
  <si>
    <t>% allocated to Enterprise</t>
  </si>
  <si>
    <t>building</t>
  </si>
  <si>
    <t>mach</t>
  </si>
  <si>
    <t>FIPI</t>
  </si>
  <si>
    <t>Buildings</t>
  </si>
  <si>
    <t># of head housed</t>
  </si>
  <si>
    <t>sq ft required</t>
  </si>
  <si>
    <t>$  per sq ft</t>
  </si>
  <si>
    <t>years</t>
  </si>
  <si>
    <t>Lamb Feeding Barn</t>
  </si>
  <si>
    <t>Grain Storage</t>
  </si>
  <si>
    <t>Handling Facility</t>
  </si>
  <si>
    <t>Machinery and Equipment</t>
  </si>
  <si>
    <t>Tractor &amp; Loader</t>
  </si>
  <si>
    <t>Truck</t>
  </si>
  <si>
    <t>Miscellaneous (wagon, tools)</t>
  </si>
  <si>
    <t>Barn equipment</t>
  </si>
  <si>
    <t>Land/Pasture</t>
  </si>
  <si>
    <t>Number of acres</t>
  </si>
  <si>
    <t>Value per acre</t>
  </si>
  <si>
    <t>Fence 8,745 ft @ $3.20 /ft</t>
  </si>
  <si>
    <t>Water delivery system (2,640 ft)</t>
  </si>
  <si>
    <t>Total $</t>
  </si>
  <si>
    <t>Average investment</t>
  </si>
  <si>
    <t>Total Buildings and Machinery Investment - Sheep Enterprise</t>
  </si>
  <si>
    <t xml:space="preserve">Annual Costs of Capital Investment </t>
  </si>
  <si>
    <t>Repairs and maintenance</t>
  </si>
  <si>
    <t xml:space="preserve">
% of original cost</t>
  </si>
  <si>
    <t>$ per year</t>
  </si>
  <si>
    <t>buildings, fence</t>
  </si>
  <si>
    <t>Mach, water</t>
  </si>
  <si>
    <t>Fencing</t>
  </si>
  <si>
    <t>Water delivery system</t>
  </si>
  <si>
    <t>Depreciation</t>
  </si>
  <si>
    <t>Useful life</t>
  </si>
  <si>
    <t>Years</t>
  </si>
  <si>
    <t>Salvage value (value at end of useful life)</t>
  </si>
  <si>
    <t>% of original cost</t>
  </si>
  <si>
    <t>Interest rate on investment (weighted average of equity and borrowed investment)</t>
  </si>
  <si>
    <t>Insurance</t>
  </si>
  <si>
    <t>% of value</t>
  </si>
  <si>
    <t>$ per lamb sold</t>
  </si>
  <si>
    <t># of head</t>
  </si>
  <si>
    <t>Grower</t>
  </si>
  <si>
    <t>Total lbs/head</t>
  </si>
  <si>
    <t>Yearly Lamb Purchases</t>
  </si>
  <si>
    <t>Animal Health Program Costs</t>
  </si>
  <si>
    <t># of visits</t>
  </si>
  <si>
    <t>$ per visit</t>
  </si>
  <si>
    <t>Lambs entering feedlot</t>
  </si>
  <si>
    <t>Dewormer</t>
  </si>
  <si>
    <t># of treatments/year</t>
  </si>
  <si>
    <t>Amount used (ml/head)</t>
  </si>
  <si>
    <t>Price ($/ml)</t>
  </si>
  <si>
    <t>Clostridial Vaccine (4ml)</t>
  </si>
  <si>
    <t>Coccidiostat</t>
  </si>
  <si>
    <t>Selenium injection</t>
  </si>
  <si>
    <t>Total health program costs</t>
  </si>
  <si>
    <t xml:space="preserve">   -------------</t>
  </si>
  <si>
    <t>-----------</t>
  </si>
  <si>
    <t xml:space="preserve"> Business risk management programs</t>
  </si>
  <si>
    <r>
      <t>Hay Storage</t>
    </r>
    <r>
      <rPr>
        <b/>
        <vertAlign val="superscript"/>
        <sz val="12"/>
        <color rgb="FF0000FF"/>
        <rFont val="Arial"/>
        <family val="2"/>
      </rPr>
      <t xml:space="preserve">[1] </t>
    </r>
  </si>
  <si>
    <t>[1] Assumed hay is stored inside.</t>
  </si>
  <si>
    <t xml:space="preserve"> Interest on investment</t>
  </si>
  <si>
    <t>Farm veterinarian visits</t>
  </si>
  <si>
    <t xml:space="preserve"> OSF checkoff</t>
  </si>
  <si>
    <t>ref margin</t>
  </si>
  <si>
    <t>RMP</t>
  </si>
  <si>
    <t>$/head</t>
  </si>
  <si>
    <t xml:space="preserve"> Land Rent</t>
  </si>
  <si>
    <t>Cost per lb of gain</t>
  </si>
  <si>
    <t xml:space="preserve"> National ID Tags</t>
  </si>
  <si>
    <t xml:space="preserve"> Utilities</t>
  </si>
  <si>
    <t>Gain on feed (lbs)</t>
  </si>
  <si>
    <t xml:space="preserve">The user of this worksheet assumes all responsibility. </t>
  </si>
  <si>
    <t>For more information:</t>
  </si>
  <si>
    <t>OMAFRA Agricultural Information Contact Centre</t>
  </si>
  <si>
    <t>ag.info.omafra@ontario.ca</t>
  </si>
  <si>
    <t>1-877-424-1300</t>
  </si>
  <si>
    <t>Lamb finishing ration - as fed basis:</t>
  </si>
  <si>
    <t>Feed conversion</t>
  </si>
  <si>
    <t>lbs fed</t>
  </si>
  <si>
    <t xml:space="preserve"> 1 lb of gain per</t>
  </si>
  <si>
    <t>lb/head</t>
  </si>
  <si>
    <t>Protein supplement</t>
  </si>
  <si>
    <t>Enter percent of ration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</si>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</sst>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\(&quot;$&quot;#,##0\)"/>
    <numFmt numFmtId="165" formatCode="&quot;$&quot;#,##0.00_);\(&quot;$&quot;#,##0.00\)"/>
    <numFmt numFmtId="166" formatCode=";;;"/>
    <numFmt numFmtId="167" formatCode="0.00_)"/>
    <numFmt numFmtId="168" formatCode="0_)"/>
    <numFmt numFmtId="169" formatCode="0.0_)"/>
    <numFmt numFmtId="170" formatCode="0.0%"/>
    <numFmt numFmtId="171" formatCode="&quot;$&quot;#,##0.0000_);\(&quot;$&quot;#,##0.0000\)"/>
    <numFmt numFmtId="172" formatCode="0.000_)"/>
    <numFmt numFmtId="173" formatCode="&quot;$&quot;#,##0.0;[Red]\-&quot;$&quot;#,##0.0"/>
    <numFmt numFmtId="174" formatCode="0.0"/>
  </numFmts>
  <fonts count="22" x14ac:knownFonts="1">
    <font>
      <sz val="10"/>
      <name val="Arial"/>
    </font>
    <font>
      <sz val="10"/>
      <name val="Courier"/>
      <family val="3"/>
    </font>
    <font>
      <b/>
      <sz val="9"/>
      <color indexed="8"/>
      <name val="Arial"/>
      <family val="2"/>
    </font>
    <font>
      <sz val="9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Courier"/>
      <family val="3"/>
    </font>
    <font>
      <b/>
      <sz val="12"/>
      <color indexed="12"/>
      <name val="Arial"/>
      <family val="2"/>
    </font>
    <font>
      <sz val="12"/>
      <name val="Courier New"/>
      <family val="3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vertAlign val="superscript"/>
      <sz val="12"/>
      <color rgb="FF0000FF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0"/>
      <color indexed="81"/>
      <name val="Tahoma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3" fillId="0" borderId="0" xfId="0" applyFont="1"/>
    <xf numFmtId="168" fontId="3" fillId="0" borderId="0" xfId="0" applyNumberFormat="1" applyFont="1" applyProtection="1"/>
    <xf numFmtId="0" fontId="3" fillId="0" borderId="0" xfId="0" applyFont="1" applyProtection="1"/>
    <xf numFmtId="167" fontId="3" fillId="0" borderId="0" xfId="0" applyNumberFormat="1" applyFont="1" applyProtection="1"/>
    <xf numFmtId="37" fontId="3" fillId="0" borderId="0" xfId="0" applyNumberFormat="1" applyFont="1" applyProtection="1"/>
    <xf numFmtId="166" fontId="3" fillId="0" borderId="0" xfId="0" applyNumberFormat="1" applyFont="1" applyProtection="1"/>
    <xf numFmtId="10" fontId="3" fillId="0" borderId="0" xfId="0" applyNumberFormat="1" applyFont="1" applyProtection="1"/>
    <xf numFmtId="9" fontId="3" fillId="0" borderId="0" xfId="0" applyNumberFormat="1" applyFont="1" applyProtection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7" fontId="1" fillId="0" borderId="0" xfId="0" applyNumberFormat="1" applyFont="1" applyAlignment="1">
      <alignment horizontal="center"/>
    </xf>
    <xf numFmtId="0" fontId="5" fillId="0" borderId="0" xfId="2" applyFont="1"/>
    <xf numFmtId="0" fontId="6" fillId="2" borderId="4" xfId="0" applyFont="1" applyFill="1" applyBorder="1" applyAlignment="1" applyProtection="1">
      <alignment horizontal="left"/>
    </xf>
    <xf numFmtId="0" fontId="6" fillId="2" borderId="0" xfId="0" applyFont="1" applyFill="1" applyBorder="1"/>
    <xf numFmtId="0" fontId="6" fillId="2" borderId="0" xfId="0" applyFont="1" applyFill="1" applyBorder="1" applyProtection="1"/>
    <xf numFmtId="0" fontId="6" fillId="2" borderId="5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3" borderId="6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</xf>
    <xf numFmtId="168" fontId="6" fillId="2" borderId="5" xfId="0" applyNumberFormat="1" applyFont="1" applyFill="1" applyBorder="1" applyProtection="1"/>
    <xf numFmtId="168" fontId="6" fillId="2" borderId="0" xfId="0" applyNumberFormat="1" applyFont="1" applyFill="1" applyBorder="1" applyProtection="1"/>
    <xf numFmtId="165" fontId="6" fillId="2" borderId="0" xfId="0" applyNumberFormat="1" applyFont="1" applyFill="1" applyBorder="1" applyProtection="1"/>
    <xf numFmtId="170" fontId="6" fillId="2" borderId="0" xfId="0" applyNumberFormat="1" applyFont="1" applyFill="1" applyBorder="1" applyProtection="1"/>
    <xf numFmtId="0" fontId="6" fillId="2" borderId="4" xfId="0" applyFont="1" applyFill="1" applyBorder="1" applyProtection="1"/>
    <xf numFmtId="167" fontId="6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68" fontId="7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</xf>
    <xf numFmtId="10" fontId="6" fillId="2" borderId="0" xfId="0" applyNumberFormat="1" applyFont="1" applyFill="1" applyBorder="1" applyProtection="1"/>
    <xf numFmtId="169" fontId="8" fillId="3" borderId="6" xfId="0" applyNumberFormat="1" applyFont="1" applyFill="1" applyBorder="1" applyAlignment="1" applyProtection="1">
      <alignment horizontal="center"/>
      <protection locked="0"/>
    </xf>
    <xf numFmtId="167" fontId="8" fillId="3" borderId="6" xfId="0" applyNumberFormat="1" applyFont="1" applyFill="1" applyBorder="1" applyAlignment="1" applyProtection="1">
      <alignment horizontal="center"/>
      <protection locked="0"/>
    </xf>
    <xf numFmtId="168" fontId="6" fillId="2" borderId="0" xfId="0" applyNumberFormat="1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fill"/>
    </xf>
    <xf numFmtId="168" fontId="6" fillId="0" borderId="0" xfId="0" applyNumberFormat="1" applyFont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/>
      <protection locked="0"/>
    </xf>
    <xf numFmtId="167" fontId="6" fillId="2" borderId="0" xfId="0" applyNumberFormat="1" applyFont="1" applyFill="1" applyBorder="1" applyAlignment="1" applyProtection="1">
      <alignment horizontal="center"/>
    </xf>
    <xf numFmtId="168" fontId="6" fillId="2" borderId="5" xfId="0" applyNumberFormat="1" applyFont="1" applyFill="1" applyBorder="1" applyAlignment="1" applyProtection="1">
      <alignment horizontal="center"/>
    </xf>
    <xf numFmtId="37" fontId="6" fillId="0" borderId="0" xfId="0" applyNumberFormat="1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/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/>
    <xf numFmtId="166" fontId="6" fillId="2" borderId="4" xfId="0" applyNumberFormat="1" applyFont="1" applyFill="1" applyBorder="1" applyProtection="1"/>
    <xf numFmtId="164" fontId="6" fillId="2" borderId="5" xfId="0" applyNumberFormat="1" applyFon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horizontal="left"/>
    </xf>
    <xf numFmtId="39" fontId="6" fillId="2" borderId="0" xfId="0" applyNumberFormat="1" applyFont="1" applyFill="1" applyBorder="1" applyProtection="1"/>
    <xf numFmtId="164" fontId="6" fillId="2" borderId="0" xfId="0" applyNumberFormat="1" applyFont="1" applyFill="1" applyBorder="1" applyProtection="1"/>
    <xf numFmtId="168" fontId="8" fillId="3" borderId="6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fill"/>
    </xf>
    <xf numFmtId="0" fontId="6" fillId="2" borderId="0" xfId="0" applyFont="1" applyFill="1" applyBorder="1" applyAlignment="1" applyProtection="1">
      <alignment horizontal="fill"/>
    </xf>
    <xf numFmtId="0" fontId="6" fillId="2" borderId="4" xfId="0" applyFont="1" applyFill="1" applyBorder="1"/>
    <xf numFmtId="37" fontId="6" fillId="2" borderId="0" xfId="0" applyNumberFormat="1" applyFont="1" applyFill="1" applyBorder="1" applyProtection="1"/>
    <xf numFmtId="0" fontId="6" fillId="2" borderId="5" xfId="0" applyFont="1" applyFill="1" applyBorder="1" applyProtection="1"/>
    <xf numFmtId="9" fontId="6" fillId="2" borderId="0" xfId="0" applyNumberFormat="1" applyFont="1" applyFill="1" applyBorder="1" applyAlignment="1" applyProtection="1">
      <alignment horizontal="center"/>
    </xf>
    <xf numFmtId="9" fontId="6" fillId="2" borderId="0" xfId="0" applyNumberFormat="1" applyFont="1" applyFill="1" applyBorder="1" applyProtection="1"/>
    <xf numFmtId="166" fontId="6" fillId="2" borderId="5" xfId="0" applyNumberFormat="1" applyFont="1" applyFill="1" applyBorder="1" applyProtection="1"/>
    <xf numFmtId="166" fontId="6" fillId="2" borderId="5" xfId="0" applyNumberFormat="1" applyFont="1" applyFill="1" applyBorder="1" applyAlignment="1" applyProtection="1">
      <alignment horizontal="left"/>
    </xf>
    <xf numFmtId="0" fontId="6" fillId="4" borderId="0" xfId="0" applyFont="1" applyFill="1" applyBorder="1"/>
    <xf numFmtId="168" fontId="6" fillId="4" borderId="0" xfId="0" applyNumberFormat="1" applyFont="1" applyFill="1" applyBorder="1" applyProtection="1"/>
    <xf numFmtId="9" fontId="6" fillId="4" borderId="0" xfId="0" applyNumberFormat="1" applyFont="1" applyFill="1" applyBorder="1" applyProtection="1"/>
    <xf numFmtId="166" fontId="6" fillId="4" borderId="0" xfId="0" applyNumberFormat="1" applyFont="1" applyFill="1" applyBorder="1" applyProtection="1"/>
    <xf numFmtId="0" fontId="6" fillId="4" borderId="0" xfId="0" applyFont="1" applyFill="1" applyBorder="1" applyProtection="1"/>
    <xf numFmtId="167" fontId="6" fillId="4" borderId="0" xfId="0" applyNumberFormat="1" applyFont="1" applyFill="1" applyBorder="1" applyProtection="1"/>
    <xf numFmtId="165" fontId="6" fillId="4" borderId="0" xfId="0" applyNumberFormat="1" applyFont="1" applyFill="1" applyBorder="1" applyProtection="1"/>
    <xf numFmtId="37" fontId="6" fillId="4" borderId="0" xfId="0" applyNumberFormat="1" applyFont="1" applyFill="1" applyBorder="1" applyProtection="1"/>
    <xf numFmtId="0" fontId="9" fillId="0" borderId="0" xfId="0" applyFont="1"/>
    <xf numFmtId="168" fontId="9" fillId="0" borderId="0" xfId="0" applyNumberFormat="1" applyFont="1" applyProtection="1"/>
    <xf numFmtId="0" fontId="9" fillId="0" borderId="0" xfId="0" applyFont="1" applyProtection="1"/>
    <xf numFmtId="167" fontId="9" fillId="0" borderId="0" xfId="0" applyNumberFormat="1" applyFont="1" applyProtection="1"/>
    <xf numFmtId="165" fontId="9" fillId="0" borderId="0" xfId="0" applyNumberFormat="1" applyFont="1" applyProtection="1"/>
    <xf numFmtId="171" fontId="9" fillId="0" borderId="0" xfId="0" applyNumberFormat="1" applyFont="1" applyProtection="1"/>
    <xf numFmtId="169" fontId="9" fillId="0" borderId="0" xfId="0" applyNumberFormat="1" applyFont="1" applyProtection="1"/>
    <xf numFmtId="39" fontId="9" fillId="0" borderId="0" xfId="0" applyNumberFormat="1" applyFont="1" applyProtection="1"/>
    <xf numFmtId="166" fontId="9" fillId="0" borderId="0" xfId="0" applyNumberFormat="1" applyFont="1" applyProtection="1"/>
    <xf numFmtId="10" fontId="9" fillId="0" borderId="0" xfId="0" applyNumberFormat="1" applyFont="1" applyProtection="1"/>
    <xf numFmtId="0" fontId="6" fillId="0" borderId="8" xfId="0" applyFont="1" applyFill="1" applyBorder="1" applyAlignment="1" applyProtection="1">
      <alignment horizontal="left"/>
    </xf>
    <xf numFmtId="0" fontId="6" fillId="0" borderId="8" xfId="0" applyFont="1" applyFill="1" applyBorder="1" applyProtection="1"/>
    <xf numFmtId="0" fontId="6" fillId="0" borderId="8" xfId="0" applyFont="1" applyFill="1" applyBorder="1"/>
    <xf numFmtId="168" fontId="8" fillId="0" borderId="8" xfId="0" applyNumberFormat="1" applyFont="1" applyFill="1" applyBorder="1" applyAlignment="1" applyProtection="1">
      <alignment horizontal="center"/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2" fontId="6" fillId="2" borderId="0" xfId="1" applyNumberFormat="1" applyFont="1" applyFill="1" applyBorder="1" applyAlignment="1" applyProtection="1">
      <alignment horizontal="center"/>
    </xf>
    <xf numFmtId="166" fontId="6" fillId="2" borderId="0" xfId="0" applyNumberFormat="1" applyFont="1" applyFill="1" applyBorder="1" applyProtection="1"/>
    <xf numFmtId="0" fontId="6" fillId="2" borderId="3" xfId="0" applyFont="1" applyFill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horizontal="center"/>
    </xf>
    <xf numFmtId="1" fontId="6" fillId="2" borderId="5" xfId="0" quotePrefix="1" applyNumberFormat="1" applyFont="1" applyFill="1" applyBorder="1" applyAlignment="1" applyProtection="1">
      <alignment horizontal="center"/>
    </xf>
    <xf numFmtId="1" fontId="6" fillId="2" borderId="9" xfId="0" applyNumberFormat="1" applyFont="1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167" fontId="7" fillId="0" borderId="0" xfId="0" applyNumberFormat="1" applyFont="1"/>
    <xf numFmtId="0" fontId="10" fillId="2" borderId="4" xfId="0" applyFont="1" applyFill="1" applyBorder="1" applyAlignment="1" applyProtection="1">
      <alignment horizontal="left"/>
    </xf>
    <xf numFmtId="0" fontId="10" fillId="2" borderId="0" xfId="0" applyFont="1" applyFill="1" applyBorder="1" applyProtection="1"/>
    <xf numFmtId="0" fontId="10" fillId="2" borderId="0" xfId="0" applyFont="1" applyFill="1" applyBorder="1"/>
    <xf numFmtId="168" fontId="10" fillId="3" borderId="7" xfId="0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left"/>
    </xf>
    <xf numFmtId="167" fontId="10" fillId="2" borderId="0" xfId="0" applyNumberFormat="1" applyFont="1" applyFill="1" applyBorder="1" applyProtection="1"/>
    <xf numFmtId="168" fontId="10" fillId="2" borderId="5" xfId="0" applyNumberFormat="1" applyFont="1" applyFill="1" applyBorder="1" applyProtection="1"/>
    <xf numFmtId="39" fontId="10" fillId="2" borderId="0" xfId="0" applyNumberFormat="1" applyFont="1" applyFill="1" applyBorder="1" applyProtection="1"/>
    <xf numFmtId="168" fontId="10" fillId="3" borderId="6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</xf>
    <xf numFmtId="167" fontId="10" fillId="2" borderId="0" xfId="0" applyNumberFormat="1" applyFont="1" applyFill="1" applyBorder="1" applyAlignment="1" applyProtection="1">
      <alignment horizontal="center"/>
    </xf>
    <xf numFmtId="168" fontId="10" fillId="2" borderId="5" xfId="0" applyNumberFormat="1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172" fontId="11" fillId="3" borderId="6" xfId="0" applyNumberFormat="1" applyFont="1" applyFill="1" applyBorder="1" applyAlignment="1" applyProtection="1">
      <alignment horizontal="center"/>
      <protection locked="0"/>
    </xf>
    <xf numFmtId="0" fontId="12" fillId="6" borderId="1" xfId="0" applyFont="1" applyFill="1" applyBorder="1"/>
    <xf numFmtId="0" fontId="12" fillId="6" borderId="2" xfId="0" applyFont="1" applyFill="1" applyBorder="1"/>
    <xf numFmtId="0" fontId="5" fillId="6" borderId="5" xfId="0" applyFont="1" applyFill="1" applyBorder="1" applyAlignment="1">
      <alignment horizontal="center" wrapText="1"/>
    </xf>
    <xf numFmtId="0" fontId="13" fillId="0" borderId="0" xfId="0" applyFont="1"/>
    <xf numFmtId="170" fontId="13" fillId="0" borderId="0" xfId="3" applyNumberFormat="1" applyFont="1"/>
    <xf numFmtId="0" fontId="13" fillId="6" borderId="4" xfId="0" applyFont="1" applyFill="1" applyBorder="1"/>
    <xf numFmtId="0" fontId="13" fillId="6" borderId="0" xfId="0" applyFont="1" applyFill="1"/>
    <xf numFmtId="0" fontId="13" fillId="6" borderId="5" xfId="0" applyFont="1" applyFill="1" applyBorder="1"/>
    <xf numFmtId="0" fontId="5" fillId="6" borderId="4" xfId="0" applyFont="1" applyFill="1" applyBorder="1"/>
    <xf numFmtId="0" fontId="5" fillId="6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left" indent="2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6" fontId="11" fillId="6" borderId="0" xfId="0" applyNumberFormat="1" applyFont="1" applyFill="1"/>
    <xf numFmtId="9" fontId="8" fillId="3" borderId="6" xfId="3" applyFont="1" applyFill="1" applyBorder="1" applyAlignment="1" applyProtection="1">
      <alignment horizontal="center"/>
      <protection locked="0"/>
    </xf>
    <xf numFmtId="6" fontId="13" fillId="0" borderId="0" xfId="0" applyNumberFormat="1" applyFont="1"/>
    <xf numFmtId="8" fontId="13" fillId="0" borderId="0" xfId="0" applyNumberFormat="1" applyFont="1"/>
    <xf numFmtId="0" fontId="11" fillId="6" borderId="0" xfId="0" applyFont="1" applyFill="1" applyAlignment="1">
      <alignment horizontal="left" indent="2"/>
    </xf>
    <xf numFmtId="0" fontId="13" fillId="6" borderId="0" xfId="0" applyFont="1" applyFill="1" applyAlignment="1">
      <alignment horizontal="left" indent="2"/>
    </xf>
    <xf numFmtId="0" fontId="5" fillId="6" borderId="0" xfId="0" applyFont="1" applyFill="1"/>
    <xf numFmtId="0" fontId="11" fillId="6" borderId="0" xfId="0" applyFont="1" applyFill="1"/>
    <xf numFmtId="0" fontId="13" fillId="6" borderId="4" xfId="0" applyFont="1" applyFill="1" applyBorder="1" applyAlignment="1">
      <alignment horizontal="left" indent="2"/>
    </xf>
    <xf numFmtId="173" fontId="13" fillId="0" borderId="0" xfId="0" applyNumberFormat="1" applyFont="1"/>
    <xf numFmtId="6" fontId="5" fillId="6" borderId="0" xfId="0" applyNumberFormat="1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6" fontId="5" fillId="6" borderId="0" xfId="0" applyNumberFormat="1" applyFont="1" applyFill="1"/>
    <xf numFmtId="8" fontId="5" fillId="6" borderId="5" xfId="0" applyNumberFormat="1" applyFont="1" applyFill="1" applyBorder="1"/>
    <xf numFmtId="0" fontId="5" fillId="0" borderId="0" xfId="0" applyFont="1"/>
    <xf numFmtId="8" fontId="5" fillId="0" borderId="0" xfId="0" applyNumberFormat="1" applyFont="1"/>
    <xf numFmtId="170" fontId="13" fillId="6" borderId="0" xfId="3" applyNumberFormat="1" applyFont="1" applyFill="1" applyBorder="1"/>
    <xf numFmtId="0" fontId="13" fillId="6" borderId="10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13" fillId="6" borderId="12" xfId="0" applyFont="1" applyFill="1" applyBorder="1"/>
    <xf numFmtId="0" fontId="5" fillId="6" borderId="0" xfId="0" applyFont="1" applyFill="1" applyAlignment="1">
      <alignment horizontal="center" wrapText="1"/>
    </xf>
    <xf numFmtId="170" fontId="11" fillId="6" borderId="0" xfId="0" applyNumberFormat="1" applyFont="1" applyFill="1" applyAlignment="1">
      <alignment horizontal="center"/>
    </xf>
    <xf numFmtId="44" fontId="5" fillId="6" borderId="0" xfId="1" applyFont="1" applyFill="1" applyBorder="1"/>
    <xf numFmtId="44" fontId="5" fillId="6" borderId="5" xfId="0" applyNumberFormat="1" applyFont="1" applyFill="1" applyBorder="1"/>
    <xf numFmtId="44" fontId="13" fillId="0" borderId="0" xfId="0" applyNumberFormat="1" applyFont="1"/>
    <xf numFmtId="0" fontId="13" fillId="6" borderId="0" xfId="0" applyFont="1" applyFill="1" applyAlignment="1">
      <alignment horizontal="center"/>
    </xf>
    <xf numFmtId="0" fontId="5" fillId="6" borderId="5" xfId="0" applyFont="1" applyFill="1" applyBorder="1"/>
    <xf numFmtId="0" fontId="11" fillId="6" borderId="0" xfId="0" applyFont="1" applyFill="1" applyAlignment="1">
      <alignment horizontal="center"/>
    </xf>
    <xf numFmtId="8" fontId="5" fillId="6" borderId="0" xfId="0" applyNumberFormat="1" applyFont="1" applyFill="1"/>
    <xf numFmtId="10" fontId="11" fillId="6" borderId="0" xfId="3" applyNumberFormat="1" applyFont="1" applyFill="1" applyBorder="1" applyAlignment="1">
      <alignment horizontal="center"/>
    </xf>
    <xf numFmtId="0" fontId="13" fillId="6" borderId="13" xfId="0" applyFont="1" applyFill="1" applyBorder="1"/>
    <xf numFmtId="0" fontId="13" fillId="6" borderId="14" xfId="0" applyFont="1" applyFill="1" applyBorder="1"/>
    <xf numFmtId="10" fontId="11" fillId="6" borderId="14" xfId="0" applyNumberFormat="1" applyFont="1" applyFill="1" applyBorder="1" applyAlignment="1">
      <alignment horizontal="center"/>
    </xf>
    <xf numFmtId="8" fontId="5" fillId="6" borderId="14" xfId="0" applyNumberFormat="1" applyFont="1" applyFill="1" applyBorder="1"/>
    <xf numFmtId="44" fontId="5" fillId="6" borderId="9" xfId="0" applyNumberFormat="1" applyFont="1" applyFill="1" applyBorder="1"/>
    <xf numFmtId="0" fontId="10" fillId="2" borderId="5" xfId="0" applyFont="1" applyFill="1" applyBorder="1"/>
    <xf numFmtId="168" fontId="10" fillId="2" borderId="0" xfId="0" applyNumberFormat="1" applyFont="1" applyFill="1" applyBorder="1" applyProtection="1"/>
    <xf numFmtId="0" fontId="10" fillId="5" borderId="0" xfId="0" applyFont="1" applyFill="1" applyBorder="1" applyAlignment="1" applyProtection="1">
      <alignment horizontal="left"/>
      <protection locked="0"/>
    </xf>
    <xf numFmtId="167" fontId="10" fillId="3" borderId="6" xfId="0" applyNumberFormat="1" applyFont="1" applyFill="1" applyBorder="1" applyAlignment="1" applyProtection="1">
      <alignment horizontal="center"/>
      <protection locked="0"/>
    </xf>
    <xf numFmtId="170" fontId="10" fillId="2" borderId="0" xfId="0" applyNumberFormat="1" applyFont="1" applyFill="1" applyBorder="1" applyProtection="1"/>
    <xf numFmtId="0" fontId="5" fillId="6" borderId="4" xfId="4" applyFont="1" applyFill="1" applyBorder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horizontal="center" wrapText="1"/>
    </xf>
    <xf numFmtId="167" fontId="6" fillId="2" borderId="15" xfId="0" applyNumberFormat="1" applyFont="1" applyFill="1" applyBorder="1" applyAlignment="1" applyProtection="1">
      <alignment horizontal="center"/>
    </xf>
    <xf numFmtId="168" fontId="6" fillId="2" borderId="16" xfId="0" applyNumberFormat="1" applyFont="1" applyFill="1" applyBorder="1" applyAlignment="1" applyProtection="1">
      <alignment horizontal="center"/>
    </xf>
    <xf numFmtId="0" fontId="6" fillId="2" borderId="5" xfId="0" quotePrefix="1" applyFont="1" applyFill="1" applyBorder="1" applyAlignment="1" applyProtection="1">
      <alignment horizontal="center"/>
    </xf>
    <xf numFmtId="0" fontId="5" fillId="6" borderId="4" xfId="4" applyFont="1" applyFill="1" applyBorder="1" applyAlignment="1">
      <alignment horizontal="left" indent="2"/>
    </xf>
    <xf numFmtId="0" fontId="6" fillId="2" borderId="4" xfId="0" applyFont="1" applyFill="1" applyBorder="1" applyAlignment="1" applyProtection="1">
      <alignment horizontal="left" indent="2"/>
    </xf>
    <xf numFmtId="0" fontId="8" fillId="5" borderId="4" xfId="0" applyFont="1" applyFill="1" applyBorder="1" applyAlignment="1" applyProtection="1">
      <alignment horizontal="left" indent="2"/>
      <protection locked="0"/>
    </xf>
    <xf numFmtId="0" fontId="11" fillId="6" borderId="0" xfId="0" applyFont="1" applyFill="1" applyBorder="1" applyAlignment="1">
      <alignment horizontal="left" indent="2"/>
    </xf>
    <xf numFmtId="0" fontId="6" fillId="2" borderId="5" xfId="0" applyFont="1" applyFill="1" applyBorder="1" applyAlignment="1">
      <alignment horizontal="center"/>
    </xf>
    <xf numFmtId="0" fontId="7" fillId="0" borderId="1" xfId="0" applyFont="1" applyBorder="1"/>
    <xf numFmtId="0" fontId="6" fillId="4" borderId="2" xfId="0" applyFont="1" applyFill="1" applyBorder="1" applyAlignment="1">
      <alignment horizontal="fill"/>
    </xf>
    <xf numFmtId="0" fontId="6" fillId="4" borderId="3" xfId="0" applyFont="1" applyFill="1" applyBorder="1" applyAlignment="1">
      <alignment horizontal="fill"/>
    </xf>
    <xf numFmtId="0" fontId="6" fillId="4" borderId="4" xfId="0" quotePrefix="1" applyFont="1" applyFill="1" applyBorder="1" applyAlignment="1">
      <alignment horizontal="left"/>
    </xf>
    <xf numFmtId="0" fontId="6" fillId="4" borderId="0" xfId="0" applyFont="1" applyFill="1"/>
    <xf numFmtId="0" fontId="6" fillId="4" borderId="4" xfId="0" quotePrefix="1" applyFont="1" applyFill="1" applyBorder="1" applyAlignment="1">
      <alignment horizontal="center"/>
    </xf>
    <xf numFmtId="0" fontId="6" fillId="4" borderId="5" xfId="0" applyFont="1" applyFill="1" applyBorder="1"/>
    <xf numFmtId="0" fontId="6" fillId="4" borderId="4" xfId="0" applyFont="1" applyFill="1" applyBorder="1"/>
    <xf numFmtId="9" fontId="6" fillId="4" borderId="0" xfId="0" applyNumberFormat="1" applyFont="1" applyFill="1"/>
    <xf numFmtId="0" fontId="7" fillId="0" borderId="4" xfId="0" applyFont="1" applyBorder="1"/>
    <xf numFmtId="0" fontId="19" fillId="4" borderId="4" xfId="5" applyFont="1" applyFill="1" applyBorder="1" applyAlignment="1" applyProtection="1">
      <alignment horizontal="center"/>
    </xf>
    <xf numFmtId="0" fontId="6" fillId="4" borderId="0" xfId="0" applyFont="1" applyFill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19" fillId="4" borderId="14" xfId="5" applyFont="1" applyFill="1" applyBorder="1" applyAlignment="1" applyProtection="1">
      <alignment horizontal="center"/>
    </xf>
    <xf numFmtId="9" fontId="6" fillId="4" borderId="14" xfId="0" applyNumberFormat="1" applyFont="1" applyFill="1" applyBorder="1"/>
    <xf numFmtId="168" fontId="6" fillId="4" borderId="9" xfId="0" applyNumberFormat="1" applyFont="1" applyFill="1" applyBorder="1"/>
    <xf numFmtId="174" fontId="8" fillId="3" borderId="6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10" fontId="11" fillId="3" borderId="6" xfId="6" applyNumberFormat="1" applyFont="1" applyFill="1" applyBorder="1" applyAlignment="1" applyProtection="1">
      <alignment horizontal="center"/>
      <protection locked="0"/>
    </xf>
    <xf numFmtId="10" fontId="6" fillId="2" borderId="0" xfId="0" applyNumberFormat="1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center" wrapText="1"/>
    </xf>
    <xf numFmtId="37" fontId="2" fillId="0" borderId="4" xfId="0" applyNumberFormat="1" applyFont="1" applyBorder="1" applyAlignment="1" applyProtection="1">
      <alignment horizontal="center"/>
    </xf>
    <xf numFmtId="0" fontId="11" fillId="6" borderId="9" xfId="0" applyFont="1" applyFill="1" applyBorder="1" applyAlignment="1">
      <alignment horizontal="left" indent="2"/>
    </xf>
  </cellXfs>
  <cellStyles count="7">
    <cellStyle name="Currency" xfId="1" builtinId="4"/>
    <cellStyle name="Hyperlink" xfId="5" builtinId="8"/>
    <cellStyle name="Normal" xfId="0" builtinId="0"/>
    <cellStyle name="Normal 2" xfId="4" xr:uid="{36BB69F4-7135-4F4D-ABCB-12D1ED86A1F9}"/>
    <cellStyle name="Normal_Raspc2" xfId="2" xr:uid="{F2FD1FCC-DA0B-46F3-9345-0D970E45454B}"/>
    <cellStyle name="Percent" xfId="6" builtinId="5"/>
    <cellStyle name="Percent 2" xfId="3" xr:uid="{BD4D999C-F86E-4B4F-9988-B759BC484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38101</xdr:rowOff>
    </xdr:from>
    <xdr:to>
      <xdr:col>0</xdr:col>
      <xdr:colOff>1458450</xdr:colOff>
      <xdr:row>2</xdr:row>
      <xdr:rowOff>160499</xdr:rowOff>
    </xdr:to>
    <xdr:pic>
      <xdr:nvPicPr>
        <xdr:cNvPr id="3" name="Picture 2" descr="This is the Ontario Trillium logo">
          <a:extLst>
            <a:ext uri="{FF2B5EF4-FFF2-40B4-BE49-F238E27FC236}">
              <a16:creationId xmlns:a16="http://schemas.microsoft.com/office/drawing/2014/main" id="{13C0B8DC-4D96-4303-8429-7523B2A8531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2" b="22785"/>
        <a:stretch/>
      </xdr:blipFill>
      <xdr:spPr>
        <a:xfrm>
          <a:off x="0" y="234044"/>
          <a:ext cx="1458450" cy="318341"/>
        </a:xfrm>
        <a:prstGeom prst="rect">
          <a:avLst/>
        </a:prstGeom>
        <a:solidFill>
          <a:srgbClr val="CCFFCC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.info.omafra@ontario.c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B317"/>
  <sheetViews>
    <sheetView showGridLines="0" tabSelected="1" zoomScale="90" zoomScaleNormal="90" workbookViewId="0">
      <selection activeCell="A4" sqref="A4"/>
    </sheetView>
  </sheetViews>
  <sheetFormatPr defaultColWidth="11.15234375" defaultRowHeight="10.75" x14ac:dyDescent="0.25"/>
  <cols>
    <col min="1" max="1" width="32.3828125" style="2" customWidth="1"/>
    <col min="2" max="2" width="15.3046875" style="2" customWidth="1"/>
    <col min="3" max="3" width="18.3828125" style="2" customWidth="1"/>
    <col min="4" max="4" width="15.3828125" style="2" customWidth="1"/>
    <col min="5" max="5" width="15.69140625" style="2" customWidth="1"/>
    <col min="6" max="6" width="15.3828125" style="2" customWidth="1"/>
    <col min="7" max="8" width="15.69140625" style="2" customWidth="1"/>
    <col min="9" max="26" width="9.15234375" style="2" hidden="1" customWidth="1"/>
    <col min="27" max="27" width="16.3828125" style="2" hidden="1" customWidth="1"/>
    <col min="28" max="40" width="11.15234375" style="2" hidden="1" customWidth="1"/>
    <col min="41" max="41" width="13.3828125" style="2" hidden="1" customWidth="1"/>
    <col min="42" max="49" width="8.84375" style="2" hidden="1" customWidth="1"/>
    <col min="50" max="50" width="6.53515625" style="2" hidden="1" customWidth="1"/>
    <col min="51" max="52" width="11.15234375" style="2" hidden="1" customWidth="1"/>
    <col min="53" max="240" width="11.15234375" style="2" customWidth="1"/>
    <col min="241" max="241" width="8.84375" style="2" customWidth="1"/>
    <col min="242" max="242" width="3.15234375" style="2" customWidth="1"/>
    <col min="243" max="249" width="11.15234375" style="2" customWidth="1"/>
    <col min="250" max="250" width="8.84375" style="2" customWidth="1"/>
    <col min="251" max="251" width="3.15234375" style="2" customWidth="1"/>
    <col min="252" max="16384" width="11.15234375" style="2"/>
  </cols>
  <sheetData>
    <row r="1" spans="1:54" ht="15.45" x14ac:dyDescent="0.4">
      <c r="A1" s="20" t="s">
        <v>129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15.45" x14ac:dyDescent="0.4">
      <c r="A2" s="51" t="s">
        <v>0</v>
      </c>
      <c r="B2" s="52"/>
      <c r="C2" s="53" t="s">
        <v>132</v>
      </c>
      <c r="D2" s="52"/>
      <c r="E2" s="52"/>
      <c r="F2" s="52"/>
      <c r="G2" s="53" t="s">
        <v>130</v>
      </c>
      <c r="H2" s="54"/>
      <c r="I2" s="25"/>
      <c r="J2" s="25"/>
      <c r="K2" s="25"/>
      <c r="L2" s="2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37">
        <f ca="1">E124</f>
        <v>-10.010465973661431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15.45" x14ac:dyDescent="0.4">
      <c r="A3" s="55">
        <v>303</v>
      </c>
      <c r="B3" s="22"/>
      <c r="C3" s="22"/>
      <c r="D3" s="22"/>
      <c r="E3" s="22"/>
      <c r="F3" s="29" t="s">
        <v>1</v>
      </c>
      <c r="G3" s="32"/>
      <c r="H3" s="56">
        <f ca="1">AA2</f>
        <v>-10.010465973661431</v>
      </c>
      <c r="I3" s="25"/>
      <c r="J3" s="25"/>
      <c r="K3" s="25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>
        <f>(1-F19/100)</f>
        <v>0.98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</row>
    <row r="4" spans="1:54" ht="15.45" x14ac:dyDescent="0.4">
      <c r="A4" s="21"/>
      <c r="B4" s="22"/>
      <c r="C4" s="23"/>
      <c r="D4" s="22"/>
      <c r="E4" s="22"/>
      <c r="F4" s="22"/>
      <c r="G4" s="57" t="s">
        <v>2</v>
      </c>
      <c r="H4" s="24"/>
      <c r="I4" s="25"/>
      <c r="J4" s="25"/>
      <c r="K4" s="25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>
        <f ca="1">IF(H7&lt;=0,0,+H105)</f>
        <v>639430.78587473312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ht="15.45" x14ac:dyDescent="0.4">
      <c r="A5" s="21" t="s">
        <v>150</v>
      </c>
      <c r="B5" s="22"/>
      <c r="C5" s="23"/>
      <c r="D5" s="23"/>
      <c r="E5" s="23"/>
      <c r="F5" s="22"/>
      <c r="G5" s="22"/>
      <c r="H5" s="24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>IF(H7&lt;=0,0,+H114)</f>
        <v>22291.829999999998</v>
      </c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15.45" x14ac:dyDescent="0.4">
      <c r="A6" s="21"/>
      <c r="B6" s="22"/>
      <c r="C6" s="22"/>
      <c r="D6" s="22"/>
      <c r="E6" s="23"/>
      <c r="F6" s="22"/>
      <c r="G6" s="22"/>
      <c r="H6" s="24"/>
      <c r="I6" s="25"/>
      <c r="J6" s="25"/>
      <c r="K6" s="25"/>
      <c r="L6" s="2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>
        <f>(D10-D9)/D20</f>
        <v>55</v>
      </c>
      <c r="AB6" s="27">
        <f>D10-D9</f>
        <v>44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15.45" x14ac:dyDescent="0.4">
      <c r="A7" s="21" t="s">
        <v>3</v>
      </c>
      <c r="B7" s="22"/>
      <c r="C7" s="22"/>
      <c r="D7" s="28">
        <v>400</v>
      </c>
      <c r="E7" s="29" t="s">
        <v>4</v>
      </c>
      <c r="F7" s="22" t="s">
        <v>198</v>
      </c>
      <c r="G7" s="22"/>
      <c r="H7" s="49">
        <f>AA11</f>
        <v>2238.1136363636365</v>
      </c>
      <c r="I7" s="25"/>
      <c r="J7" s="25"/>
      <c r="K7" s="25"/>
      <c r="L7" s="2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>(D10-D9)/F20</f>
        <v>61.971830985915496</v>
      </c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15.45" x14ac:dyDescent="0.4">
      <c r="A8" s="21" t="s">
        <v>5</v>
      </c>
      <c r="B8" s="22"/>
      <c r="C8" s="23"/>
      <c r="D8" s="28">
        <v>95</v>
      </c>
      <c r="E8" s="29" t="s">
        <v>6</v>
      </c>
      <c r="F8" s="22"/>
      <c r="G8" s="22"/>
      <c r="H8" s="30"/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>
        <f>(D10-D9)/H20</f>
        <v>67.692307692307693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4" ht="15.45" x14ac:dyDescent="0.4">
      <c r="A9" s="21" t="s">
        <v>7</v>
      </c>
      <c r="B9" s="22"/>
      <c r="C9" s="31"/>
      <c r="D9" s="28">
        <v>65</v>
      </c>
      <c r="E9" s="29" t="s">
        <v>8</v>
      </c>
      <c r="F9" s="22" t="s">
        <v>226</v>
      </c>
      <c r="G9" s="22"/>
      <c r="H9" s="180">
        <f>AB6</f>
        <v>44</v>
      </c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>
        <f>IF(H7&lt;=0,0,+F118)</f>
        <v>639318.05547272728</v>
      </c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4" ht="15.45" x14ac:dyDescent="0.4">
      <c r="A10" s="21" t="s">
        <v>9</v>
      </c>
      <c r="B10" s="22"/>
      <c r="C10" s="22"/>
      <c r="D10" s="28">
        <v>109</v>
      </c>
      <c r="E10" s="29" t="s">
        <v>8</v>
      </c>
      <c r="F10" s="22"/>
      <c r="G10" s="22"/>
      <c r="H10" s="24"/>
      <c r="I10" s="25"/>
      <c r="J10" s="2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>
        <f>IF(H7&lt;=0,0,+I129)</f>
        <v>117627.474972679</v>
      </c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54" ht="15.45" x14ac:dyDescent="0.4">
      <c r="A11" s="21" t="s">
        <v>10</v>
      </c>
      <c r="B11" s="22"/>
      <c r="C11" s="29" t="s">
        <v>11</v>
      </c>
      <c r="D11" s="28">
        <v>20</v>
      </c>
      <c r="E11" s="23"/>
      <c r="F11" s="32"/>
      <c r="G11" s="33"/>
      <c r="H11" s="30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>
        <f>D7*D8/100*365/F21</f>
        <v>2238.1136363636365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15.45" x14ac:dyDescent="0.4">
      <c r="A12" s="21" t="s">
        <v>12</v>
      </c>
      <c r="B12" s="22"/>
      <c r="C12" s="29" t="s">
        <v>13</v>
      </c>
      <c r="D12" s="28">
        <v>3</v>
      </c>
      <c r="E12" s="23"/>
      <c r="F12" s="32"/>
      <c r="G12" s="33"/>
      <c r="H12" s="30"/>
      <c r="I12" s="25"/>
      <c r="J12" s="25"/>
      <c r="K12" s="25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>D7*D8/100*365/F21*I16</f>
        <v>2193.3513636363637</v>
      </c>
      <c r="AB12" s="100">
        <f>F18/100</f>
        <v>2.67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4" ht="15.45" x14ac:dyDescent="0.4">
      <c r="A13" s="21" t="s">
        <v>137</v>
      </c>
      <c r="B13" s="22"/>
      <c r="C13" s="29" t="s">
        <v>19</v>
      </c>
      <c r="D13" s="28">
        <v>75</v>
      </c>
      <c r="E13" s="23"/>
      <c r="F13" s="32"/>
      <c r="G13" s="33"/>
      <c r="H13" s="30"/>
      <c r="I13" s="25"/>
      <c r="J13" s="25"/>
      <c r="K13" s="25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7">
        <f>H7</f>
        <v>2238.1136363636365</v>
      </c>
      <c r="AB13" s="27">
        <f>D11/100</f>
        <v>0.2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15.45" x14ac:dyDescent="0.4">
      <c r="A14" s="21" t="s">
        <v>233</v>
      </c>
      <c r="B14" s="22"/>
      <c r="C14" s="29" t="s">
        <v>235</v>
      </c>
      <c r="D14" s="198">
        <v>6</v>
      </c>
      <c r="E14" s="23" t="s">
        <v>234</v>
      </c>
      <c r="F14" s="32"/>
      <c r="G14" s="33"/>
      <c r="H14" s="30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7">
        <f>SUM(H63:H65)</f>
        <v>430613.06363636366</v>
      </c>
      <c r="AB14" s="27">
        <f>C26*F26*E26</f>
        <v>638331.04735909088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15.45" x14ac:dyDescent="0.4">
      <c r="A15" s="21"/>
      <c r="B15" s="22"/>
      <c r="C15" s="29"/>
      <c r="D15" s="23"/>
      <c r="E15" s="23"/>
      <c r="F15" s="32"/>
      <c r="G15" s="33"/>
      <c r="H15" s="30"/>
      <c r="I15" s="38"/>
      <c r="J15" s="25"/>
      <c r="K15" s="25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7">
        <f>SUM(H37:H47)</f>
        <v>95767.681080600029</v>
      </c>
      <c r="AB15" s="27">
        <f>C27*E27*F27</f>
        <v>987.00811363636353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15.45" x14ac:dyDescent="0.4">
      <c r="A16" s="34"/>
      <c r="B16" s="22"/>
      <c r="C16" s="35"/>
      <c r="D16" s="36" t="s">
        <v>14</v>
      </c>
      <c r="E16" s="22"/>
      <c r="F16" s="36" t="s">
        <v>15</v>
      </c>
      <c r="G16" s="33"/>
      <c r="H16" s="46" t="s">
        <v>16</v>
      </c>
      <c r="I16" s="38">
        <f>AA3</f>
        <v>0.98</v>
      </c>
      <c r="J16" s="25"/>
      <c r="K16" s="38">
        <f ca="1">AA4</f>
        <v>639430.78587473312</v>
      </c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 t="str">
        <f>""&amp;FIXED(G22,0,TRUE)&amp;" Lamb"</f>
        <v>2193 Lamb</v>
      </c>
      <c r="AB16" s="27">
        <f>SUM(AB14:AB15)</f>
        <v>639318.05547272728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15.45" x14ac:dyDescent="0.4">
      <c r="A17" s="21" t="s">
        <v>17</v>
      </c>
      <c r="B17" s="22"/>
      <c r="C17" s="29" t="s">
        <v>11</v>
      </c>
      <c r="D17" s="28">
        <v>276</v>
      </c>
      <c r="E17" s="103"/>
      <c r="F17" s="28">
        <v>296</v>
      </c>
      <c r="G17" s="169"/>
      <c r="H17" s="28">
        <v>316</v>
      </c>
      <c r="I17" s="25"/>
      <c r="J17" s="25"/>
      <c r="K17" s="38">
        <f>AA5</f>
        <v>22291.829999999998</v>
      </c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 t="str">
        <f>""&amp;FIXED(H7,0,TRUE)&amp;" Lamb"</f>
        <v>2238 Lamb</v>
      </c>
      <c r="AB17" s="27">
        <f>C26*D13/100</f>
        <v>1645.0135227272726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15.45" x14ac:dyDescent="0.4">
      <c r="A18" s="21" t="s">
        <v>133</v>
      </c>
      <c r="B18" s="22"/>
      <c r="C18" s="29" t="s">
        <v>11</v>
      </c>
      <c r="D18" s="28">
        <v>310</v>
      </c>
      <c r="E18" s="22"/>
      <c r="F18" s="28">
        <v>267</v>
      </c>
      <c r="G18" s="33"/>
      <c r="H18" s="28">
        <v>234</v>
      </c>
      <c r="I18" s="25"/>
      <c r="J18" s="25"/>
      <c r="K18" s="38">
        <f>AA9</f>
        <v>639318.05547272728</v>
      </c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7">
        <f>H80+H83</f>
        <v>10252.891340909093</v>
      </c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15.45" x14ac:dyDescent="0.4">
      <c r="A19" s="21" t="s">
        <v>18</v>
      </c>
      <c r="B19" s="39"/>
      <c r="C19" s="29" t="s">
        <v>19</v>
      </c>
      <c r="D19" s="40">
        <v>1</v>
      </c>
      <c r="E19" s="22"/>
      <c r="F19" s="40">
        <v>2</v>
      </c>
      <c r="G19" s="33"/>
      <c r="H19" s="40">
        <v>4</v>
      </c>
      <c r="I19" s="38"/>
      <c r="J19" s="25"/>
      <c r="K19" s="38">
        <f>AA10</f>
        <v>117627.474972679</v>
      </c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7">
        <f>H69+H84+H85+H88+H90+H92</f>
        <v>28862.821727272727</v>
      </c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ht="15.45" x14ac:dyDescent="0.4">
      <c r="A20" s="21" t="s">
        <v>20</v>
      </c>
      <c r="B20" s="22"/>
      <c r="C20" s="23"/>
      <c r="D20" s="41">
        <v>0.8</v>
      </c>
      <c r="E20" s="22"/>
      <c r="F20" s="41">
        <v>0.71</v>
      </c>
      <c r="G20" s="33"/>
      <c r="H20" s="41">
        <v>0.65</v>
      </c>
      <c r="I20" s="38">
        <f>AA12</f>
        <v>2193.3513636363637</v>
      </c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>
        <f>H37/G22</f>
        <v>0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15.45" x14ac:dyDescent="0.4">
      <c r="A21" s="21" t="s">
        <v>21</v>
      </c>
      <c r="B21" s="22"/>
      <c r="C21" s="29" t="s">
        <v>22</v>
      </c>
      <c r="D21" s="42">
        <f>AA6</f>
        <v>55</v>
      </c>
      <c r="E21" s="22"/>
      <c r="F21" s="42">
        <f>AA7</f>
        <v>61.971830985915496</v>
      </c>
      <c r="G21" s="33"/>
      <c r="H21" s="49">
        <f>AA8</f>
        <v>67.692307692307693</v>
      </c>
      <c r="I21" s="25"/>
      <c r="J21" s="25"/>
      <c r="K21" s="38" t="s">
        <v>25</v>
      </c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f>AE37*E37</f>
        <v>0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15.45" hidden="1" x14ac:dyDescent="0.4">
      <c r="A22" s="101" t="s">
        <v>23</v>
      </c>
      <c r="B22" s="102"/>
      <c r="C22" s="102"/>
      <c r="D22" s="103"/>
      <c r="E22" s="102"/>
      <c r="F22" s="102"/>
      <c r="G22" s="104">
        <f>C26</f>
        <v>2193.3513636363637</v>
      </c>
      <c r="H22" s="105" t="s">
        <v>24</v>
      </c>
      <c r="I22" s="25"/>
      <c r="J22" s="25"/>
      <c r="K22" s="38" t="s">
        <v>26</v>
      </c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7">
        <f>H87+H86</f>
        <v>43867.027272727268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15.45" x14ac:dyDescent="0.4">
      <c r="A23" s="88"/>
      <c r="B23" s="89"/>
      <c r="C23" s="89"/>
      <c r="D23" s="90"/>
      <c r="E23" s="89"/>
      <c r="F23" s="89"/>
      <c r="G23" s="91"/>
      <c r="H23" s="88"/>
      <c r="I23" s="25"/>
      <c r="J23" s="25"/>
      <c r="K23" s="44">
        <f>AA13</f>
        <v>2238.1136363636365</v>
      </c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>
        <f>H38/G22</f>
        <v>0</v>
      </c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ht="15.45" x14ac:dyDescent="0.4">
      <c r="A24" s="29" t="s">
        <v>134</v>
      </c>
      <c r="B24" s="23"/>
      <c r="C24" s="23"/>
      <c r="D24" s="22"/>
      <c r="E24" s="23"/>
      <c r="F24" s="23"/>
      <c r="G24" s="23"/>
      <c r="H24" s="95" t="s">
        <v>30</v>
      </c>
      <c r="I24" s="25"/>
      <c r="J24" s="25"/>
      <c r="K24" s="44">
        <f>AA14</f>
        <v>430613.06363636366</v>
      </c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f>AE38*E38</f>
        <v>0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15.45" x14ac:dyDescent="0.4">
      <c r="A25" s="29"/>
      <c r="B25" s="23"/>
      <c r="C25" s="36" t="s">
        <v>49</v>
      </c>
      <c r="D25" s="22"/>
      <c r="E25" s="36" t="s">
        <v>140</v>
      </c>
      <c r="F25" s="36" t="s">
        <v>139</v>
      </c>
      <c r="G25" s="23"/>
      <c r="H25" s="46" t="str">
        <f>AA16</f>
        <v>2193 Lamb</v>
      </c>
      <c r="I25" s="25"/>
      <c r="J25" s="25"/>
      <c r="K25" s="44">
        <f>AA15</f>
        <v>95767.681080600029</v>
      </c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37">
        <f>H89+H91</f>
        <v>10418.418977272728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ht="15.45" x14ac:dyDescent="0.4">
      <c r="A26" s="29" t="s">
        <v>135</v>
      </c>
      <c r="B26" s="23"/>
      <c r="C26" s="92">
        <f>AA12</f>
        <v>2193.3513636363637</v>
      </c>
      <c r="D26" s="22"/>
      <c r="E26" s="92">
        <f>D10</f>
        <v>109</v>
      </c>
      <c r="F26" s="93">
        <f>AB12</f>
        <v>2.67</v>
      </c>
      <c r="G26" s="23"/>
      <c r="H26" s="96">
        <f>AB14</f>
        <v>638331.04735909088</v>
      </c>
      <c r="I26" s="25"/>
      <c r="J26" s="25"/>
      <c r="K26" s="44">
        <f>AA18</f>
        <v>10252.891340909093</v>
      </c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>H39/G22</f>
        <v>0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15.45" x14ac:dyDescent="0.4">
      <c r="A27" s="29" t="s">
        <v>136</v>
      </c>
      <c r="B27" s="23"/>
      <c r="C27" s="92">
        <f>AB17</f>
        <v>1645.0135227272726</v>
      </c>
      <c r="D27" s="22"/>
      <c r="E27" s="36">
        <f>D12</f>
        <v>3</v>
      </c>
      <c r="F27" s="99">
        <f>AB13</f>
        <v>0.2</v>
      </c>
      <c r="G27" s="23"/>
      <c r="H27" s="96">
        <f>AB15</f>
        <v>987.00811363636353</v>
      </c>
      <c r="I27" s="25"/>
      <c r="J27" s="25"/>
      <c r="K27" s="44">
        <f>AA19</f>
        <v>28862.821727272727</v>
      </c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f>AE39*E39</f>
        <v>0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15.45" x14ac:dyDescent="0.4">
      <c r="A28" s="29"/>
      <c r="B28" s="23"/>
      <c r="C28" s="23"/>
      <c r="D28" s="22"/>
      <c r="E28" s="23"/>
      <c r="F28" s="36"/>
      <c r="G28" s="23"/>
      <c r="H28" s="97" t="s">
        <v>138</v>
      </c>
      <c r="I28" s="50"/>
      <c r="J28" s="25"/>
      <c r="K28" s="44">
        <f>AA22</f>
        <v>43867.027272727268</v>
      </c>
      <c r="L28" s="2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>H40/G22</f>
        <v>0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15.45" x14ac:dyDescent="0.4">
      <c r="A29" s="29"/>
      <c r="B29" s="23"/>
      <c r="C29" s="23"/>
      <c r="D29" s="22"/>
      <c r="E29" s="23"/>
      <c r="F29" s="23"/>
      <c r="G29" s="23"/>
      <c r="H29" s="98">
        <f>AB16</f>
        <v>639318.05547272728</v>
      </c>
      <c r="I29" s="25"/>
      <c r="J29" s="25"/>
      <c r="K29" s="44">
        <f>AA25</f>
        <v>10418.418977272728</v>
      </c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>AE40*E40</f>
        <v>0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15.45" x14ac:dyDescent="0.4">
      <c r="A30" s="43"/>
      <c r="B30" s="43"/>
      <c r="C30" s="43"/>
      <c r="D30" s="43"/>
      <c r="E30" s="43"/>
      <c r="F30" s="43"/>
      <c r="G30" s="43"/>
      <c r="H30" s="43"/>
      <c r="I30" s="25"/>
      <c r="J30" s="25"/>
      <c r="K30" s="38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f>H41/G22</f>
        <v>3.9115102040816335E-2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15.45" hidden="1" x14ac:dyDescent="0.4">
      <c r="A31" s="101" t="s">
        <v>27</v>
      </c>
      <c r="B31" s="23"/>
      <c r="C31" s="23"/>
      <c r="D31" s="22"/>
      <c r="E31" s="22"/>
      <c r="F31" s="22"/>
      <c r="G31" s="22"/>
      <c r="H31" s="24"/>
      <c r="I31" s="25"/>
      <c r="J31" s="25"/>
      <c r="K31" s="38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>
        <f>AE41*E41</f>
        <v>85.793162400000014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ht="15.45" x14ac:dyDescent="0.4">
      <c r="A32" s="34"/>
      <c r="B32" s="22"/>
      <c r="C32" s="22"/>
      <c r="D32" s="22"/>
      <c r="E32" s="22"/>
      <c r="F32" s="23"/>
      <c r="G32" s="35"/>
      <c r="H32" s="24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>H42/G22</f>
        <v>6.1151020408163285E-3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35" ht="15.45" x14ac:dyDescent="0.4">
      <c r="A33" s="21" t="s">
        <v>28</v>
      </c>
      <c r="B33" s="22"/>
      <c r="C33" s="22"/>
      <c r="D33" s="22"/>
      <c r="E33" s="36"/>
      <c r="F33" s="36"/>
      <c r="G33" s="45"/>
      <c r="H33" s="46" t="s">
        <v>30</v>
      </c>
      <c r="I33" s="14"/>
      <c r="J33" s="14"/>
      <c r="K33" s="14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f>AE42*E42</f>
        <v>13.412567400000004</v>
      </c>
    </row>
    <row r="34" spans="1:35" ht="15.45" x14ac:dyDescent="0.4">
      <c r="A34" s="21" t="s">
        <v>31</v>
      </c>
      <c r="B34" s="22"/>
      <c r="C34" s="22"/>
      <c r="D34" s="22"/>
      <c r="E34" s="36"/>
      <c r="F34" s="36"/>
      <c r="G34" s="36" t="s">
        <v>32</v>
      </c>
      <c r="H34" s="46" t="str">
        <f>AA16</f>
        <v>2193 Lamb</v>
      </c>
      <c r="I34" s="17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f>H43/G22</f>
        <v>1.0371428571428574</v>
      </c>
    </row>
    <row r="35" spans="1:35" ht="15.45" x14ac:dyDescent="0.4">
      <c r="A35" s="22"/>
      <c r="B35" s="22" t="s">
        <v>232</v>
      </c>
      <c r="C35" s="22"/>
      <c r="D35" s="22"/>
      <c r="E35" s="36"/>
      <c r="F35" s="36"/>
      <c r="G35" s="36"/>
      <c r="H35" s="46"/>
      <c r="I35" s="5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f>AE43*E43</f>
        <v>2274.8187000000007</v>
      </c>
    </row>
    <row r="36" spans="1:35" ht="46.3" x14ac:dyDescent="0.4">
      <c r="A36" s="21" t="s">
        <v>131</v>
      </c>
      <c r="B36" s="203" t="s">
        <v>238</v>
      </c>
      <c r="C36" s="36" t="s">
        <v>197</v>
      </c>
      <c r="D36" s="22"/>
      <c r="E36" s="114" t="s">
        <v>148</v>
      </c>
      <c r="F36" s="36"/>
      <c r="G36" s="35"/>
      <c r="H36" s="30"/>
      <c r="I36" s="5"/>
      <c r="J36" s="5"/>
      <c r="K36" s="14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f>H44/G22</f>
        <v>27.925650612244901</v>
      </c>
      <c r="AE36" s="2" t="s">
        <v>234</v>
      </c>
      <c r="AF36" s="2" t="s">
        <v>236</v>
      </c>
    </row>
    <row r="37" spans="1:35" ht="15.45" x14ac:dyDescent="0.4">
      <c r="A37" s="113" t="s">
        <v>196</v>
      </c>
      <c r="B37" s="200">
        <v>0</v>
      </c>
      <c r="C37" s="48">
        <f t="shared" ref="C37:C39" si="0">AF37</f>
        <v>0</v>
      </c>
      <c r="D37" s="22"/>
      <c r="E37" s="115">
        <v>0.182</v>
      </c>
      <c r="F37" s="36"/>
      <c r="G37" s="48">
        <f>AA20</f>
        <v>0</v>
      </c>
      <c r="H37" s="49">
        <f>AA21</f>
        <v>0</v>
      </c>
      <c r="I37" s="5"/>
      <c r="J37" s="5"/>
      <c r="K37" s="5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f>AE44*E44</f>
        <v>61250.763850800009</v>
      </c>
      <c r="AE37" s="199">
        <f>B37*$D$14*$H$9*$H$7</f>
        <v>0</v>
      </c>
      <c r="AF37" s="2">
        <f>AE37/$H$7</f>
        <v>0</v>
      </c>
      <c r="AH37" s="2">
        <v>28.2</v>
      </c>
      <c r="AI37" s="2">
        <f>AH37/$AH$46</f>
        <v>5.3800366300366304E-2</v>
      </c>
    </row>
    <row r="38" spans="1:35" ht="15.45" x14ac:dyDescent="0.4">
      <c r="A38" s="113" t="s">
        <v>141</v>
      </c>
      <c r="B38" s="200">
        <v>0</v>
      </c>
      <c r="C38" s="48">
        <f t="shared" si="0"/>
        <v>0</v>
      </c>
      <c r="D38" s="22"/>
      <c r="E38" s="115">
        <v>0.17</v>
      </c>
      <c r="F38" s="36"/>
      <c r="G38" s="48">
        <f>AA23</f>
        <v>0</v>
      </c>
      <c r="H38" s="49">
        <f>AA24</f>
        <v>0</v>
      </c>
      <c r="I38" s="17"/>
      <c r="J38" s="5"/>
      <c r="K38" s="5"/>
      <c r="L38" s="1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>H45/G22</f>
        <v>14.654693877551026</v>
      </c>
      <c r="AE38" s="199">
        <f t="shared" ref="AE38" si="1">B38*$D$14*$H$9*$H$7</f>
        <v>0</v>
      </c>
      <c r="AF38" s="2">
        <f t="shared" ref="AF38:AF45" si="2">AE38/$H$7</f>
        <v>0</v>
      </c>
      <c r="AH38" s="2">
        <v>34.5</v>
      </c>
      <c r="AI38" s="2">
        <f t="shared" ref="AI38:AI45" si="3">AH38/$AH$46</f>
        <v>6.5819597069597072E-2</v>
      </c>
    </row>
    <row r="39" spans="1:35" ht="15.45" hidden="1" x14ac:dyDescent="0.4">
      <c r="A39" s="202" t="s">
        <v>142</v>
      </c>
      <c r="B39" s="200">
        <v>0</v>
      </c>
      <c r="C39" s="48">
        <f t="shared" si="0"/>
        <v>0</v>
      </c>
      <c r="D39" s="22"/>
      <c r="E39" s="115">
        <v>9.0999999999999998E-2</v>
      </c>
      <c r="F39" s="36"/>
      <c r="G39" s="48">
        <f>AA26</f>
        <v>0</v>
      </c>
      <c r="H39" s="49">
        <f>AA27</f>
        <v>0</v>
      </c>
      <c r="I39" s="5"/>
      <c r="J39" s="5"/>
      <c r="K39" s="5"/>
      <c r="L39" s="14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f>AE45*E45</f>
        <v>32142.892800000012</v>
      </c>
      <c r="AE39" s="199">
        <f t="shared" ref="AE39:AE45" si="4">B39*$D$14*$H$9*$H$7</f>
        <v>0</v>
      </c>
      <c r="AF39" s="2">
        <f t="shared" si="2"/>
        <v>0</v>
      </c>
      <c r="AH39" s="2">
        <v>116.39999999999999</v>
      </c>
      <c r="AI39" s="2">
        <f t="shared" si="3"/>
        <v>0.22206959706959706</v>
      </c>
    </row>
    <row r="40" spans="1:35" ht="15.45" x14ac:dyDescent="0.4">
      <c r="A40" s="113" t="s">
        <v>143</v>
      </c>
      <c r="B40" s="200">
        <v>0</v>
      </c>
      <c r="C40" s="48">
        <f t="shared" ref="C40:C45" si="5">AF40</f>
        <v>0</v>
      </c>
      <c r="D40" s="22"/>
      <c r="E40" s="115">
        <v>3.1E-2</v>
      </c>
      <c r="F40" s="36"/>
      <c r="G40" s="48">
        <f>AA28</f>
        <v>0</v>
      </c>
      <c r="H40" s="49">
        <f>AA29</f>
        <v>0</v>
      </c>
      <c r="I40" s="5"/>
      <c r="J40" s="5"/>
      <c r="K40" s="5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>
        <f ca="1">IF(K21=0,0,HLOOKUP(A2,INDIRECT(K21),12,FALSE)/D48)</f>
        <v>0</v>
      </c>
      <c r="AE40" s="199">
        <f t="shared" si="4"/>
        <v>0</v>
      </c>
      <c r="AF40" s="2">
        <f t="shared" si="2"/>
        <v>0</v>
      </c>
      <c r="AH40" s="2">
        <v>146.25</v>
      </c>
      <c r="AI40" s="2">
        <f t="shared" si="3"/>
        <v>0.27901785714285715</v>
      </c>
    </row>
    <row r="41" spans="1:35" ht="15.45" x14ac:dyDescent="0.4">
      <c r="A41" s="113" t="s">
        <v>144</v>
      </c>
      <c r="B41" s="200">
        <v>2.0000000000000001E-4</v>
      </c>
      <c r="C41" s="48">
        <f t="shared" si="5"/>
        <v>5.2800000000000007E-2</v>
      </c>
      <c r="D41" s="22"/>
      <c r="E41" s="115">
        <v>0.72599999999999998</v>
      </c>
      <c r="F41" s="36"/>
      <c r="G41" s="48">
        <f>AA30</f>
        <v>3.9115102040816335E-2</v>
      </c>
      <c r="H41" s="49">
        <f>AA31</f>
        <v>85.793162400000014</v>
      </c>
      <c r="I41" s="14"/>
      <c r="J41" s="14"/>
      <c r="K41" s="5"/>
      <c r="L41" s="14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>
        <f ca="1">G48*H7</f>
        <v>0</v>
      </c>
      <c r="AE41" s="199">
        <f t="shared" si="4"/>
        <v>118.17240000000002</v>
      </c>
      <c r="AF41" s="2">
        <f t="shared" si="2"/>
        <v>5.2800000000000007E-2</v>
      </c>
      <c r="AH41" s="2">
        <v>52.5</v>
      </c>
      <c r="AI41" s="2">
        <f t="shared" si="3"/>
        <v>0.10016025641025642</v>
      </c>
    </row>
    <row r="42" spans="1:35" ht="15.45" x14ac:dyDescent="0.4">
      <c r="A42" s="113" t="s">
        <v>145</v>
      </c>
      <c r="B42" s="200">
        <v>1E-4</v>
      </c>
      <c r="C42" s="48">
        <f t="shared" si="5"/>
        <v>2.6400000000000003E-2</v>
      </c>
      <c r="D42" s="22"/>
      <c r="E42" s="115">
        <v>0.22700000000000001</v>
      </c>
      <c r="F42" s="36"/>
      <c r="G42" s="48">
        <f>AA32</f>
        <v>6.1151020408163285E-3</v>
      </c>
      <c r="H42" s="49">
        <f>AA33</f>
        <v>13.412567400000004</v>
      </c>
      <c r="I42" s="17"/>
      <c r="J42" s="14"/>
      <c r="K42" s="5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>
        <f>F51/G22</f>
        <v>0</v>
      </c>
      <c r="AE42" s="199">
        <f t="shared" si="4"/>
        <v>59.086200000000012</v>
      </c>
      <c r="AF42" s="2">
        <f t="shared" si="2"/>
        <v>2.6400000000000003E-2</v>
      </c>
      <c r="AH42" s="2">
        <v>40</v>
      </c>
      <c r="AI42" s="2">
        <f t="shared" si="3"/>
        <v>7.6312576312576319E-2</v>
      </c>
    </row>
    <row r="43" spans="1:35" ht="15.45" x14ac:dyDescent="0.4">
      <c r="A43" s="113" t="s">
        <v>146</v>
      </c>
      <c r="B43" s="200">
        <v>0.05</v>
      </c>
      <c r="C43" s="48">
        <f t="shared" si="5"/>
        <v>13.200000000000003</v>
      </c>
      <c r="D43" s="22"/>
      <c r="E43" s="115">
        <v>7.6999999999999999E-2</v>
      </c>
      <c r="F43" s="36"/>
      <c r="G43" s="48">
        <f>AA34</f>
        <v>1.0371428571428574</v>
      </c>
      <c r="H43" s="49">
        <f>AA35</f>
        <v>2274.8187000000007</v>
      </c>
      <c r="I43" s="17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>
        <f>G51*H7</f>
        <v>0</v>
      </c>
      <c r="AE43" s="199">
        <f t="shared" si="4"/>
        <v>29543.100000000009</v>
      </c>
      <c r="AF43" s="2">
        <f t="shared" si="2"/>
        <v>13.200000000000003</v>
      </c>
      <c r="AH43" s="2">
        <v>104</v>
      </c>
      <c r="AI43" s="2">
        <f t="shared" si="3"/>
        <v>0.19841269841269843</v>
      </c>
    </row>
    <row r="44" spans="1:35" ht="15.45" x14ac:dyDescent="0.4">
      <c r="A44" s="113" t="s">
        <v>147</v>
      </c>
      <c r="B44" s="200">
        <v>0.84970000000000001</v>
      </c>
      <c r="C44" s="48">
        <f t="shared" si="5"/>
        <v>224.32080000000002</v>
      </c>
      <c r="D44" s="22"/>
      <c r="E44" s="115">
        <v>0.122</v>
      </c>
      <c r="F44" s="36"/>
      <c r="G44" s="48">
        <f>AA36</f>
        <v>27.925650612244901</v>
      </c>
      <c r="H44" s="49">
        <f>AA37</f>
        <v>61250.763850800009</v>
      </c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f>F52/G22</f>
        <v>0</v>
      </c>
      <c r="AE44" s="199">
        <f t="shared" si="4"/>
        <v>502055.44140000007</v>
      </c>
      <c r="AF44" s="2">
        <f t="shared" si="2"/>
        <v>224.32080000000002</v>
      </c>
      <c r="AH44" s="2">
        <v>1.155</v>
      </c>
      <c r="AI44" s="2">
        <f t="shared" si="3"/>
        <v>2.203525641025641E-3</v>
      </c>
    </row>
    <row r="45" spans="1:35" ht="15.45" x14ac:dyDescent="0.4">
      <c r="A45" s="113" t="s">
        <v>237</v>
      </c>
      <c r="B45" s="200">
        <v>0.1</v>
      </c>
      <c r="C45" s="48">
        <f t="shared" si="5"/>
        <v>26.400000000000006</v>
      </c>
      <c r="D45" s="22"/>
      <c r="E45" s="115">
        <v>0.54400000000000004</v>
      </c>
      <c r="F45" s="36"/>
      <c r="G45" s="48">
        <f>AA38</f>
        <v>14.654693877551026</v>
      </c>
      <c r="H45" s="49">
        <f>AA39</f>
        <v>32142.892800000012</v>
      </c>
      <c r="I45" s="17"/>
      <c r="J45" s="14"/>
      <c r="K45" s="14"/>
      <c r="L45" s="14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f>G52*H7</f>
        <v>0</v>
      </c>
      <c r="AE45" s="199">
        <f t="shared" si="4"/>
        <v>59086.200000000019</v>
      </c>
      <c r="AF45" s="2">
        <f t="shared" si="2"/>
        <v>26.400000000000006</v>
      </c>
      <c r="AH45" s="2">
        <v>1.155</v>
      </c>
      <c r="AI45" s="2">
        <f t="shared" si="3"/>
        <v>2.203525641025641E-3</v>
      </c>
    </row>
    <row r="46" spans="1:35" ht="15.45" x14ac:dyDescent="0.4">
      <c r="A46" s="21"/>
      <c r="B46" s="201">
        <f>SUM(B37:B45)</f>
        <v>1</v>
      </c>
      <c r="C46" s="58"/>
      <c r="D46" s="59"/>
      <c r="E46" s="22"/>
      <c r="F46" s="31"/>
      <c r="G46" s="22"/>
      <c r="H46" s="24"/>
      <c r="I46" s="17"/>
      <c r="J46" s="14"/>
      <c r="K46" s="5"/>
      <c r="L46" s="14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>
        <f>F53/G22</f>
        <v>0</v>
      </c>
      <c r="AH46" s="2">
        <f>SUM(AH37:AH45)</f>
        <v>524.16</v>
      </c>
      <c r="AI46" s="2">
        <f>SUM(AI37:AI45)</f>
        <v>1</v>
      </c>
    </row>
    <row r="47" spans="1:35" ht="15.45" hidden="1" x14ac:dyDescent="0.4">
      <c r="A47" s="101" t="s">
        <v>36</v>
      </c>
      <c r="B47" s="103"/>
      <c r="C47" s="103"/>
      <c r="D47" s="102"/>
      <c r="E47" s="103"/>
      <c r="F47" s="103"/>
      <c r="G47" s="106"/>
      <c r="H47" s="107"/>
      <c r="I47" s="17"/>
      <c r="J47" s="14"/>
      <c r="K47" s="14"/>
      <c r="L47" s="14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>
        <f>G53*H7</f>
        <v>0</v>
      </c>
    </row>
    <row r="48" spans="1:35" ht="15.45" hidden="1" x14ac:dyDescent="0.4">
      <c r="A48" s="101" t="s">
        <v>37</v>
      </c>
      <c r="B48" s="102"/>
      <c r="C48" s="108"/>
      <c r="D48" s="109">
        <f>G22</f>
        <v>2193.3513636363637</v>
      </c>
      <c r="E48" s="110" t="s">
        <v>38</v>
      </c>
      <c r="F48" s="102"/>
      <c r="G48" s="111">
        <f ca="1">AA40</f>
        <v>0</v>
      </c>
      <c r="H48" s="112">
        <f ca="1">AA41</f>
        <v>0</v>
      </c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>F54/G22</f>
        <v>0</v>
      </c>
    </row>
    <row r="49" spans="1:27" ht="15.45" hidden="1" x14ac:dyDescent="0.4">
      <c r="A49" s="101"/>
      <c r="B49" s="103"/>
      <c r="C49" s="102"/>
      <c r="D49" s="102"/>
      <c r="E49" s="103"/>
      <c r="F49" s="102"/>
      <c r="G49" s="103"/>
      <c r="H49" s="165"/>
      <c r="I49" s="17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>
        <f>G54*H7</f>
        <v>0</v>
      </c>
    </row>
    <row r="50" spans="1:27" ht="15.45" hidden="1" x14ac:dyDescent="0.4">
      <c r="A50" s="101"/>
      <c r="B50" s="110" t="s">
        <v>39</v>
      </c>
      <c r="C50" s="108"/>
      <c r="D50" s="103"/>
      <c r="E50" s="106"/>
      <c r="F50" s="166"/>
      <c r="G50" s="106"/>
      <c r="H50" s="107"/>
      <c r="I50" s="17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f>F55/G22</f>
        <v>0</v>
      </c>
    </row>
    <row r="51" spans="1:27" ht="15.45" hidden="1" x14ac:dyDescent="0.4">
      <c r="A51" s="101" t="s">
        <v>40</v>
      </c>
      <c r="B51" s="167" t="s">
        <v>41</v>
      </c>
      <c r="C51" s="103"/>
      <c r="D51" s="103"/>
      <c r="E51" s="168">
        <v>0</v>
      </c>
      <c r="F51" s="109">
        <v>0</v>
      </c>
      <c r="G51" s="111">
        <f>AA42</f>
        <v>0</v>
      </c>
      <c r="H51" s="112">
        <f>AA43</f>
        <v>0</v>
      </c>
      <c r="I51" s="17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>
        <f>G55*H7</f>
        <v>0</v>
      </c>
    </row>
    <row r="52" spans="1:27" ht="15.45" hidden="1" x14ac:dyDescent="0.4">
      <c r="A52" s="101" t="s">
        <v>33</v>
      </c>
      <c r="B52" s="167" t="s">
        <v>42</v>
      </c>
      <c r="C52" s="106"/>
      <c r="D52" s="169"/>
      <c r="E52" s="168">
        <v>0</v>
      </c>
      <c r="F52" s="109">
        <v>0</v>
      </c>
      <c r="G52" s="111">
        <f>AA44</f>
        <v>0</v>
      </c>
      <c r="H52" s="112">
        <f>AA45</f>
        <v>0</v>
      </c>
      <c r="I52" s="17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f>F56/G22</f>
        <v>0</v>
      </c>
    </row>
    <row r="53" spans="1:27" ht="15.45" hidden="1" x14ac:dyDescent="0.4">
      <c r="A53" s="101" t="s">
        <v>35</v>
      </c>
      <c r="B53" s="167" t="s">
        <v>34</v>
      </c>
      <c r="C53" s="106"/>
      <c r="D53" s="169"/>
      <c r="E53" s="168">
        <v>0</v>
      </c>
      <c r="F53" s="109">
        <v>0</v>
      </c>
      <c r="G53" s="111">
        <f>AA46</f>
        <v>0</v>
      </c>
      <c r="H53" s="112">
        <f>AA47</f>
        <v>0</v>
      </c>
      <c r="I53" s="14"/>
      <c r="J53" s="14"/>
      <c r="K53" s="14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f>G56*H7</f>
        <v>0</v>
      </c>
    </row>
    <row r="54" spans="1:27" ht="15.45" hidden="1" x14ac:dyDescent="0.4">
      <c r="A54" s="101" t="s">
        <v>43</v>
      </c>
      <c r="B54" s="167" t="s">
        <v>34</v>
      </c>
      <c r="C54" s="106"/>
      <c r="D54" s="169"/>
      <c r="E54" s="168">
        <v>0</v>
      </c>
      <c r="F54" s="109">
        <v>0</v>
      </c>
      <c r="G54" s="111">
        <f>AA48</f>
        <v>0</v>
      </c>
      <c r="H54" s="112">
        <f>AA49</f>
        <v>0</v>
      </c>
      <c r="I54" s="14"/>
      <c r="J54" s="14"/>
      <c r="K54" s="14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>
        <f>F57/G22</f>
        <v>0</v>
      </c>
    </row>
    <row r="55" spans="1:27" ht="15.45" hidden="1" x14ac:dyDescent="0.4">
      <c r="A55" s="101" t="s">
        <v>33</v>
      </c>
      <c r="B55" s="167" t="s">
        <v>34</v>
      </c>
      <c r="C55" s="106"/>
      <c r="D55" s="169"/>
      <c r="E55" s="168">
        <v>0</v>
      </c>
      <c r="F55" s="109">
        <v>0</v>
      </c>
      <c r="G55" s="111">
        <f>AA50</f>
        <v>0</v>
      </c>
      <c r="H55" s="112">
        <f>AA51</f>
        <v>0</v>
      </c>
      <c r="I55" s="14"/>
      <c r="J55" s="14"/>
      <c r="K55" s="14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>
        <f>G57*H7</f>
        <v>0</v>
      </c>
    </row>
    <row r="56" spans="1:27" ht="15.45" hidden="1" x14ac:dyDescent="0.4">
      <c r="A56" s="101" t="s">
        <v>44</v>
      </c>
      <c r="B56" s="167" t="s">
        <v>34</v>
      </c>
      <c r="C56" s="106"/>
      <c r="D56" s="169"/>
      <c r="E56" s="168">
        <v>0</v>
      </c>
      <c r="F56" s="109">
        <v>0</v>
      </c>
      <c r="G56" s="111">
        <f>AA52</f>
        <v>0</v>
      </c>
      <c r="H56" s="112">
        <f>AA53</f>
        <v>0</v>
      </c>
      <c r="I56" s="17"/>
      <c r="J56" s="14"/>
      <c r="K56" s="14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>
        <f>H59/G22</f>
        <v>43.662717551020421</v>
      </c>
    </row>
    <row r="57" spans="1:27" ht="15.45" hidden="1" x14ac:dyDescent="0.4">
      <c r="A57" s="101" t="s">
        <v>33</v>
      </c>
      <c r="B57" s="167" t="s">
        <v>34</v>
      </c>
      <c r="C57" s="102"/>
      <c r="D57" s="106"/>
      <c r="E57" s="168">
        <v>0</v>
      </c>
      <c r="F57" s="109">
        <v>0</v>
      </c>
      <c r="G57" s="111">
        <f>AA54</f>
        <v>0</v>
      </c>
      <c r="H57" s="112">
        <f>AA55</f>
        <v>0</v>
      </c>
      <c r="I57" s="17"/>
      <c r="J57" s="14"/>
      <c r="K57" s="14"/>
      <c r="L57" s="1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6">
        <f>SUM(H37:H45)</f>
        <v>95767.681080600029</v>
      </c>
    </row>
    <row r="58" spans="1:27" ht="15.45" x14ac:dyDescent="0.4">
      <c r="A58" s="61" t="s">
        <v>45</v>
      </c>
      <c r="B58" s="62" t="s">
        <v>45</v>
      </c>
      <c r="C58" s="23"/>
      <c r="D58" s="22"/>
      <c r="E58" s="35"/>
      <c r="F58" s="31"/>
      <c r="G58" s="36" t="s">
        <v>211</v>
      </c>
      <c r="H58" s="175" t="s">
        <v>212</v>
      </c>
      <c r="I58" s="14"/>
      <c r="J58" s="14"/>
      <c r="K58" s="14"/>
      <c r="L58" s="14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 t="str">
        <f>""&amp;FIXED(H7,0,TRUE)&amp;" Lamb"</f>
        <v>2238 Lamb</v>
      </c>
    </row>
    <row r="59" spans="1:27" ht="15.45" x14ac:dyDescent="0.4">
      <c r="A59" s="21" t="s">
        <v>47</v>
      </c>
      <c r="B59" s="22"/>
      <c r="C59" s="35"/>
      <c r="D59" s="35"/>
      <c r="E59" s="23"/>
      <c r="F59" s="22"/>
      <c r="G59" s="48">
        <f>AA56</f>
        <v>43.662717551020421</v>
      </c>
      <c r="H59" s="49">
        <f>AA57</f>
        <v>95767.681080600029</v>
      </c>
      <c r="I59" s="17"/>
      <c r="J59" s="14"/>
      <c r="K59" s="14"/>
      <c r="L59" s="1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6">
        <f>H7</f>
        <v>2238.1136363636365</v>
      </c>
    </row>
    <row r="60" spans="1:27" ht="15.45" x14ac:dyDescent="0.4">
      <c r="A60" s="21"/>
      <c r="B60" s="22"/>
      <c r="C60" s="23"/>
      <c r="D60" s="35"/>
      <c r="E60" s="35"/>
      <c r="F60" s="22"/>
      <c r="G60" s="22"/>
      <c r="H60" s="30"/>
      <c r="I60" s="17"/>
      <c r="J60" s="14"/>
      <c r="K60" s="14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>
        <f>F17*D9/100</f>
        <v>192.4</v>
      </c>
    </row>
    <row r="61" spans="1:27" ht="15.45" x14ac:dyDescent="0.4">
      <c r="A61" s="34"/>
      <c r="B61" s="22"/>
      <c r="C61" s="22"/>
      <c r="D61" s="22"/>
      <c r="E61" s="45"/>
      <c r="F61" s="45"/>
      <c r="G61" s="45"/>
      <c r="H61" s="46" t="s">
        <v>30</v>
      </c>
      <c r="I61" s="4"/>
      <c r="J61" s="14"/>
      <c r="K61" s="14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>
        <f>(E63*F63)/G22</f>
        <v>196.32653061224491</v>
      </c>
    </row>
    <row r="62" spans="1:27" ht="15.45" x14ac:dyDescent="0.4">
      <c r="A62" s="21" t="s">
        <v>48</v>
      </c>
      <c r="B62" s="22"/>
      <c r="C62" s="32"/>
      <c r="D62" s="23"/>
      <c r="E62" s="36" t="s">
        <v>49</v>
      </c>
      <c r="F62" s="36" t="s">
        <v>50</v>
      </c>
      <c r="G62" s="36" t="s">
        <v>32</v>
      </c>
      <c r="H62" s="46" t="str">
        <f>AA67</f>
        <v>2193 Lamb</v>
      </c>
      <c r="I62" s="4"/>
      <c r="J62" s="14"/>
      <c r="K62" s="14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>
        <f>G63*G22</f>
        <v>430613.06363636366</v>
      </c>
    </row>
    <row r="63" spans="1:27" ht="15.45" x14ac:dyDescent="0.4">
      <c r="A63" s="21" t="s">
        <v>51</v>
      </c>
      <c r="B63" s="22"/>
      <c r="C63" s="32"/>
      <c r="D63" s="23"/>
      <c r="E63" s="42">
        <f>AA59</f>
        <v>2238.1136363636365</v>
      </c>
      <c r="F63" s="36">
        <f>AA60</f>
        <v>192.4</v>
      </c>
      <c r="G63" s="48">
        <f>AA61</f>
        <v>196.32653061224491</v>
      </c>
      <c r="H63" s="49">
        <f>AA62</f>
        <v>430613.06363636366</v>
      </c>
      <c r="I63" s="4"/>
      <c r="J63" s="14"/>
      <c r="K63" s="14"/>
      <c r="L63" s="1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>
        <f>(E64*F64)/G22</f>
        <v>0</v>
      </c>
    </row>
    <row r="64" spans="1:27" ht="15.45" x14ac:dyDescent="0.4">
      <c r="A64" s="21" t="s">
        <v>52</v>
      </c>
      <c r="B64" s="22"/>
      <c r="C64" s="32"/>
      <c r="D64" s="22"/>
      <c r="E64" s="28">
        <v>0</v>
      </c>
      <c r="F64" s="28">
        <v>0</v>
      </c>
      <c r="G64" s="48">
        <f>AA63</f>
        <v>0</v>
      </c>
      <c r="H64" s="49">
        <f>AA64</f>
        <v>0</v>
      </c>
      <c r="I64" s="14"/>
      <c r="J64" s="14"/>
      <c r="K64" s="14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>
        <f>G64*G22</f>
        <v>0</v>
      </c>
    </row>
    <row r="65" spans="1:27" ht="15.45" x14ac:dyDescent="0.4">
      <c r="A65" s="21" t="s">
        <v>53</v>
      </c>
      <c r="B65" s="47" t="s">
        <v>54</v>
      </c>
      <c r="C65" s="22"/>
      <c r="D65" s="22"/>
      <c r="E65" s="28">
        <v>0</v>
      </c>
      <c r="F65" s="28">
        <v>0</v>
      </c>
      <c r="G65" s="48">
        <f>AA65</f>
        <v>0</v>
      </c>
      <c r="H65" s="49">
        <f>AA66</f>
        <v>0</v>
      </c>
      <c r="I65" s="17"/>
      <c r="J65" s="14"/>
      <c r="K65" s="14"/>
      <c r="L65" s="1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>
        <f>(E65*F65)/G22</f>
        <v>0</v>
      </c>
    </row>
    <row r="66" spans="1:27" ht="15.45" x14ac:dyDescent="0.4">
      <c r="A66" s="34"/>
      <c r="B66" s="23"/>
      <c r="C66" s="22"/>
      <c r="D66" s="22"/>
      <c r="E66" s="23"/>
      <c r="F66" s="23"/>
      <c r="G66" s="35"/>
      <c r="H66" s="30"/>
      <c r="I66" s="14"/>
      <c r="J66" s="14"/>
      <c r="K66" s="14"/>
      <c r="L66" s="14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f>G65*G22</f>
        <v>0</v>
      </c>
    </row>
    <row r="67" spans="1:27" ht="15.45" x14ac:dyDescent="0.4">
      <c r="A67" s="34"/>
      <c r="B67" s="23"/>
      <c r="C67" s="22"/>
      <c r="D67" s="22"/>
      <c r="E67" s="36" t="s">
        <v>29</v>
      </c>
      <c r="F67" s="36" t="s">
        <v>30</v>
      </c>
      <c r="G67" s="48"/>
      <c r="H67" s="46" t="s">
        <v>30</v>
      </c>
      <c r="I67" s="14"/>
      <c r="J67" s="14"/>
      <c r="K67" s="14"/>
      <c r="L67" s="14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 t="str">
        <f>""&amp;FIXED(G22,0,TRUE)&amp;" Lamb"</f>
        <v>2193 Lamb</v>
      </c>
    </row>
    <row r="68" spans="1:27" ht="15.45" x14ac:dyDescent="0.4">
      <c r="A68" s="34"/>
      <c r="B68" s="23"/>
      <c r="C68" s="22"/>
      <c r="D68" s="22"/>
      <c r="E68" s="36" t="s">
        <v>32</v>
      </c>
      <c r="F68" s="36" t="str">
        <f>AA67</f>
        <v>2193 Lamb</v>
      </c>
      <c r="G68" s="36" t="s">
        <v>32</v>
      </c>
      <c r="H68" s="46" t="str">
        <f>AA67</f>
        <v>2193 Lamb</v>
      </c>
      <c r="I68" s="14"/>
      <c r="J68" s="14"/>
      <c r="K68" s="14"/>
      <c r="L68" s="14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 t="str">
        <f>""&amp;FIXED(H7,0,TRUE)&amp;" Lamb"</f>
        <v>2238 Lamb</v>
      </c>
    </row>
    <row r="69" spans="1:27" ht="15.45" x14ac:dyDescent="0.4">
      <c r="A69" s="21" t="s">
        <v>55</v>
      </c>
      <c r="B69" s="23"/>
      <c r="C69" s="23"/>
      <c r="D69" s="22"/>
      <c r="E69" s="41">
        <v>0</v>
      </c>
      <c r="F69" s="60">
        <v>10000</v>
      </c>
      <c r="G69" s="48">
        <f>AA69</f>
        <v>4.5592330375289123</v>
      </c>
      <c r="H69" s="49">
        <f>AA70</f>
        <v>10000</v>
      </c>
      <c r="I69" s="14"/>
      <c r="J69" s="14"/>
      <c r="K69" s="14"/>
      <c r="L69" s="1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>
        <f>IF(E69=0,F69/G22,E69)</f>
        <v>4.5592330375289123</v>
      </c>
    </row>
    <row r="70" spans="1:27" ht="15.45" x14ac:dyDescent="0.4">
      <c r="A70" s="21"/>
      <c r="B70" s="23"/>
      <c r="C70" s="23"/>
      <c r="D70" s="22"/>
      <c r="E70" s="22"/>
      <c r="F70" s="22"/>
      <c r="G70" s="48"/>
      <c r="H70" s="49"/>
      <c r="I70" s="14"/>
      <c r="J70" s="14"/>
      <c r="K70" s="14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>
        <f>G69*G22</f>
        <v>10000</v>
      </c>
    </row>
    <row r="71" spans="1:27" ht="15.45" x14ac:dyDescent="0.4">
      <c r="A71" s="170" t="s">
        <v>199</v>
      </c>
      <c r="B71" s="23"/>
      <c r="C71" s="23"/>
      <c r="D71" s="22"/>
      <c r="E71" s="22"/>
      <c r="F71" s="22"/>
      <c r="G71" s="48"/>
      <c r="H71" s="49"/>
      <c r="I71" s="17"/>
      <c r="J71" s="14"/>
      <c r="K71" s="14"/>
      <c r="L71" s="14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>
        <f>E73*F73</f>
        <v>300</v>
      </c>
    </row>
    <row r="72" spans="1:27" ht="15.45" x14ac:dyDescent="0.4">
      <c r="A72" s="21"/>
      <c r="B72" s="23"/>
      <c r="C72" s="23"/>
      <c r="D72" s="22"/>
      <c r="E72" s="22" t="s">
        <v>200</v>
      </c>
      <c r="F72" s="22" t="s">
        <v>201</v>
      </c>
      <c r="G72" s="48"/>
      <c r="H72" s="49"/>
      <c r="I72" s="204" t="s">
        <v>219</v>
      </c>
      <c r="J72" s="14"/>
      <c r="K72" s="3"/>
      <c r="L72" s="1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>
        <f>H73/G22</f>
        <v>0.13677699112586736</v>
      </c>
    </row>
    <row r="73" spans="1:27" ht="15.45" x14ac:dyDescent="0.4">
      <c r="A73" s="176" t="s">
        <v>217</v>
      </c>
      <c r="B73" s="23"/>
      <c r="C73" s="23"/>
      <c r="D73" s="22"/>
      <c r="E73" s="41">
        <v>1</v>
      </c>
      <c r="F73" s="60">
        <v>300</v>
      </c>
      <c r="G73" s="48">
        <f>AA72</f>
        <v>0.13677699112586736</v>
      </c>
      <c r="H73" s="49">
        <f>AA71</f>
        <v>300</v>
      </c>
      <c r="I73" s="17">
        <f>H29-H59-H63-H64-H65-H69-H73-H80-H86-H92-H96</f>
        <v>75276.278778490872</v>
      </c>
      <c r="J73" s="14">
        <f>I73/100000*315</f>
        <v>237.12027815224624</v>
      </c>
      <c r="K73" s="3"/>
      <c r="L73" s="14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>
        <f>C75*D75*E75*F75</f>
        <v>0</v>
      </c>
    </row>
    <row r="74" spans="1:27" ht="30.9" x14ac:dyDescent="0.4">
      <c r="A74" s="177" t="s">
        <v>202</v>
      </c>
      <c r="B74" s="23"/>
      <c r="C74" s="172" t="s">
        <v>204</v>
      </c>
      <c r="D74" s="171" t="s">
        <v>205</v>
      </c>
      <c r="E74" s="171" t="s">
        <v>206</v>
      </c>
      <c r="F74" s="171" t="s">
        <v>195</v>
      </c>
      <c r="G74" s="48"/>
      <c r="H74" s="49"/>
      <c r="I74" s="17"/>
      <c r="J74" s="14">
        <f>J73/C26</f>
        <v>0.10810866060197662</v>
      </c>
      <c r="K74" s="3"/>
      <c r="L74" s="14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>
        <f>H75/G22</f>
        <v>0</v>
      </c>
    </row>
    <row r="75" spans="1:27" ht="15.45" x14ac:dyDescent="0.4">
      <c r="A75" s="178" t="s">
        <v>203</v>
      </c>
      <c r="B75" s="23"/>
      <c r="C75" s="41">
        <v>0</v>
      </c>
      <c r="D75" s="41">
        <v>7.5</v>
      </c>
      <c r="E75" s="41">
        <v>0.09</v>
      </c>
      <c r="F75" s="60">
        <f>H7</f>
        <v>2238.1136363636365</v>
      </c>
      <c r="G75" s="48">
        <f>AA74</f>
        <v>0</v>
      </c>
      <c r="H75" s="49">
        <f>AA73</f>
        <v>0</v>
      </c>
      <c r="I75" s="14" t="s">
        <v>220</v>
      </c>
      <c r="J75" s="14">
        <f>(D10-D9)*0.0898</f>
        <v>3.9512</v>
      </c>
      <c r="K75" s="3"/>
      <c r="L75" s="14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>
        <f>C76*D76*E76*F76</f>
        <v>2685.7363636363643</v>
      </c>
    </row>
    <row r="76" spans="1:27" ht="15.45" x14ac:dyDescent="0.4">
      <c r="A76" s="178" t="s">
        <v>207</v>
      </c>
      <c r="B76" s="23"/>
      <c r="C76" s="41">
        <v>2</v>
      </c>
      <c r="D76" s="41">
        <v>3</v>
      </c>
      <c r="E76" s="41">
        <v>0.2</v>
      </c>
      <c r="F76" s="60">
        <f>H7</f>
        <v>2238.1136363636365</v>
      </c>
      <c r="G76" s="48">
        <f>AA76</f>
        <v>1.2244897959183676</v>
      </c>
      <c r="H76" s="49">
        <f>AA75</f>
        <v>2685.7363636363643</v>
      </c>
      <c r="I76" s="18"/>
      <c r="J76" s="14">
        <f>J75+J74</f>
        <v>4.0593086606019764</v>
      </c>
      <c r="K76" s="3"/>
      <c r="L76" s="1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>
        <f>H76/G22</f>
        <v>1.2244897959183676</v>
      </c>
    </row>
    <row r="77" spans="1:27" ht="15.45" x14ac:dyDescent="0.4">
      <c r="A77" s="178" t="s">
        <v>208</v>
      </c>
      <c r="B77" s="23"/>
      <c r="C77" s="41">
        <v>0</v>
      </c>
      <c r="D77" s="41">
        <v>0</v>
      </c>
      <c r="E77" s="41">
        <v>0</v>
      </c>
      <c r="F77" s="60">
        <f>H7</f>
        <v>2238.1136363636365</v>
      </c>
      <c r="G77" s="48">
        <f>AA78</f>
        <v>0</v>
      </c>
      <c r="H77" s="49">
        <f>AA77</f>
        <v>0</v>
      </c>
      <c r="I77" s="14"/>
      <c r="J77" s="14"/>
      <c r="K77" s="14"/>
      <c r="L77" s="14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>
        <f>C77*D77*E77*F77</f>
        <v>0</v>
      </c>
    </row>
    <row r="78" spans="1:27" ht="15.45" x14ac:dyDescent="0.4">
      <c r="A78" s="178" t="s">
        <v>209</v>
      </c>
      <c r="B78" s="23"/>
      <c r="C78" s="41">
        <v>1</v>
      </c>
      <c r="D78" s="41">
        <v>1</v>
      </c>
      <c r="E78" s="41">
        <v>0.65</v>
      </c>
      <c r="F78" s="60">
        <f>H7</f>
        <v>2238.1136363636365</v>
      </c>
      <c r="G78" s="48">
        <f>AA80</f>
        <v>0.66326530612244905</v>
      </c>
      <c r="H78" s="49">
        <f>AA79</f>
        <v>1454.7738636363638</v>
      </c>
      <c r="I78" s="14"/>
      <c r="J78" s="14"/>
      <c r="K78" s="3" t="s">
        <v>69</v>
      </c>
      <c r="L78" s="14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>
        <f>H77/G22</f>
        <v>0</v>
      </c>
    </row>
    <row r="79" spans="1:27" ht="15.9" thickBot="1" x14ac:dyDescent="0.45">
      <c r="A79" s="178" t="s">
        <v>149</v>
      </c>
      <c r="B79" s="23"/>
      <c r="C79" s="41">
        <v>0</v>
      </c>
      <c r="D79" s="41">
        <v>0</v>
      </c>
      <c r="E79" s="41">
        <v>0</v>
      </c>
      <c r="F79" s="60">
        <f>H7</f>
        <v>2238.1136363636365</v>
      </c>
      <c r="G79" s="173">
        <f>AA82</f>
        <v>0</v>
      </c>
      <c r="H79" s="174">
        <f>AA81</f>
        <v>0</v>
      </c>
      <c r="I79" s="3"/>
      <c r="J79" s="3"/>
      <c r="K79" s="3" t="s">
        <v>71</v>
      </c>
      <c r="L79" s="14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>
        <f>C78*D78*E78*F78</f>
        <v>1454.7738636363638</v>
      </c>
    </row>
    <row r="80" spans="1:27" ht="15.45" x14ac:dyDescent="0.4">
      <c r="A80" s="177" t="s">
        <v>210</v>
      </c>
      <c r="B80" s="23"/>
      <c r="C80" s="22"/>
      <c r="D80" s="22"/>
      <c r="E80" s="22"/>
      <c r="F80" s="22"/>
      <c r="G80" s="48">
        <f>AA83</f>
        <v>2.0245320931666839</v>
      </c>
      <c r="H80" s="49">
        <f>AA84</f>
        <v>4440.5102272727281</v>
      </c>
      <c r="I80" s="14"/>
      <c r="J80" s="14"/>
      <c r="K80" s="3" t="s">
        <v>72</v>
      </c>
      <c r="L80" s="14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f>H78/G22</f>
        <v>0.66326530612244905</v>
      </c>
    </row>
    <row r="81" spans="1:27" ht="15.45" x14ac:dyDescent="0.4">
      <c r="A81" s="21"/>
      <c r="B81" s="23"/>
      <c r="C81" s="22"/>
      <c r="D81" s="22"/>
      <c r="E81" s="36" t="s">
        <v>29</v>
      </c>
      <c r="F81" s="36" t="s">
        <v>30</v>
      </c>
      <c r="G81" s="48"/>
      <c r="H81" s="49"/>
      <c r="I81" s="17"/>
      <c r="J81" s="14"/>
      <c r="K81" s="3" t="s">
        <v>76</v>
      </c>
      <c r="L81" s="1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f>C79*D79*E79*F79</f>
        <v>0</v>
      </c>
    </row>
    <row r="82" spans="1:27" ht="15.45" x14ac:dyDescent="0.4">
      <c r="A82" s="21"/>
      <c r="B82" s="23"/>
      <c r="C82" s="22"/>
      <c r="D82" s="22"/>
      <c r="E82" s="36" t="s">
        <v>32</v>
      </c>
      <c r="F82" s="36" t="str">
        <f>AA67</f>
        <v>2193 Lamb</v>
      </c>
      <c r="G82" s="48"/>
      <c r="H82" s="49"/>
      <c r="I82" s="17"/>
      <c r="J82" s="14"/>
      <c r="K82" s="3" t="s">
        <v>78</v>
      </c>
      <c r="L82" s="1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f>H79/G22</f>
        <v>0</v>
      </c>
    </row>
    <row r="83" spans="1:27" ht="15.45" x14ac:dyDescent="0.4">
      <c r="A83" s="21" t="s">
        <v>224</v>
      </c>
      <c r="B83" s="22"/>
      <c r="C83" s="23"/>
      <c r="D83" s="22"/>
      <c r="E83" s="41">
        <v>2.65</v>
      </c>
      <c r="F83" s="60">
        <v>0</v>
      </c>
      <c r="G83" s="48">
        <f>AA85</f>
        <v>2.65</v>
      </c>
      <c r="H83" s="49">
        <f>AA86</f>
        <v>5812.3811136363638</v>
      </c>
      <c r="I83" s="14"/>
      <c r="J83" s="14"/>
      <c r="K83" s="14"/>
      <c r="L83" s="14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9">
        <f>SUM(G73:G79)</f>
        <v>2.0245320931666839</v>
      </c>
    </row>
    <row r="84" spans="1:27" ht="15.45" x14ac:dyDescent="0.4">
      <c r="A84" s="21" t="s">
        <v>225</v>
      </c>
      <c r="B84" s="22"/>
      <c r="C84" s="22"/>
      <c r="D84" s="22"/>
      <c r="E84" s="41">
        <v>0</v>
      </c>
      <c r="F84" s="60">
        <v>0</v>
      </c>
      <c r="G84" s="48">
        <f>AA87</f>
        <v>0</v>
      </c>
      <c r="H84" s="49">
        <f>AA88</f>
        <v>0</v>
      </c>
      <c r="I84" s="17"/>
      <c r="J84" s="14"/>
      <c r="K84" s="14"/>
      <c r="L84" s="1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6">
        <f>SUM(H73:H79)</f>
        <v>4440.5102272727281</v>
      </c>
    </row>
    <row r="85" spans="1:27" ht="15.45" x14ac:dyDescent="0.4">
      <c r="A85" s="21" t="s">
        <v>57</v>
      </c>
      <c r="B85" s="103"/>
      <c r="C85" s="102"/>
      <c r="D85" s="103"/>
      <c r="E85" s="41">
        <v>2.8</v>
      </c>
      <c r="F85" s="60">
        <v>0</v>
      </c>
      <c r="G85" s="48">
        <f>AA89</f>
        <v>2.8</v>
      </c>
      <c r="H85" s="49">
        <f>AA90</f>
        <v>6141.3838181818182</v>
      </c>
      <c r="I85" s="17"/>
      <c r="J85" s="3">
        <f>AA126</f>
        <v>11968.257498678546</v>
      </c>
      <c r="K85" s="3" t="s">
        <v>80</v>
      </c>
      <c r="L85" s="14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f>IF(E83=0,F83/G22,E83)</f>
        <v>2.65</v>
      </c>
    </row>
    <row r="86" spans="1:27" ht="15.45" x14ac:dyDescent="0.4">
      <c r="A86" s="21" t="s">
        <v>58</v>
      </c>
      <c r="B86" s="22"/>
      <c r="C86" s="22"/>
      <c r="D86" s="22"/>
      <c r="E86" s="41">
        <v>8</v>
      </c>
      <c r="F86" s="60">
        <v>0</v>
      </c>
      <c r="G86" s="48">
        <f>AA91</f>
        <v>8</v>
      </c>
      <c r="H86" s="49">
        <f>AA92</f>
        <v>17546.810909090909</v>
      </c>
      <c r="I86" s="14"/>
      <c r="J86" s="14"/>
      <c r="K86" s="14"/>
      <c r="L86" s="14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>
        <f>G83*G22</f>
        <v>5812.3811136363638</v>
      </c>
    </row>
    <row r="87" spans="1:27" ht="15.45" x14ac:dyDescent="0.4">
      <c r="A87" s="21" t="s">
        <v>59</v>
      </c>
      <c r="B87" s="22"/>
      <c r="C87" s="23"/>
      <c r="D87" s="22"/>
      <c r="E87" s="41">
        <v>12</v>
      </c>
      <c r="F87" s="60">
        <v>0</v>
      </c>
      <c r="G87" s="48">
        <f>AA93</f>
        <v>12</v>
      </c>
      <c r="H87" s="49">
        <f>AA94</f>
        <v>26320.216363636362</v>
      </c>
      <c r="I87" s="17"/>
      <c r="J87" s="14"/>
      <c r="K87" s="3"/>
      <c r="L87" s="14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>
        <f>IF(E84=0,F84/G22,E84)</f>
        <v>0</v>
      </c>
    </row>
    <row r="88" spans="1:27" ht="15.45" x14ac:dyDescent="0.4">
      <c r="A88" s="21" t="s">
        <v>60</v>
      </c>
      <c r="B88" s="22"/>
      <c r="C88" s="22"/>
      <c r="D88" s="22"/>
      <c r="E88" s="41">
        <v>0</v>
      </c>
      <c r="F88" s="60">
        <v>0</v>
      </c>
      <c r="G88" s="48">
        <f>AA95</f>
        <v>0</v>
      </c>
      <c r="H88" s="49">
        <f>AA96</f>
        <v>0</v>
      </c>
      <c r="I88" s="17"/>
      <c r="J88" s="14"/>
      <c r="K88" s="3"/>
      <c r="L88" s="14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>
        <f>G84*G22</f>
        <v>0</v>
      </c>
    </row>
    <row r="89" spans="1:27" ht="15.45" x14ac:dyDescent="0.4">
      <c r="A89" s="21" t="s">
        <v>61</v>
      </c>
      <c r="B89" s="22"/>
      <c r="C89" s="23"/>
      <c r="D89" s="22"/>
      <c r="E89" s="41">
        <v>0</v>
      </c>
      <c r="F89" s="60">
        <v>0</v>
      </c>
      <c r="G89" s="48">
        <f>AA97</f>
        <v>0</v>
      </c>
      <c r="H89" s="49">
        <f>AA98</f>
        <v>0</v>
      </c>
      <c r="I89" s="17"/>
      <c r="J89" s="14"/>
      <c r="K89" s="3"/>
      <c r="L89" s="14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f>IF(E85=0,F85/G22,E85)</f>
        <v>2.8</v>
      </c>
    </row>
    <row r="90" spans="1:27" ht="15.45" x14ac:dyDescent="0.4">
      <c r="A90" s="21" t="s">
        <v>213</v>
      </c>
      <c r="B90" s="22"/>
      <c r="C90" s="22"/>
      <c r="D90" s="22"/>
      <c r="E90" s="41">
        <v>3.6</v>
      </c>
      <c r="F90" s="60">
        <v>0</v>
      </c>
      <c r="G90" s="48">
        <f>AA99</f>
        <v>3.6</v>
      </c>
      <c r="H90" s="49">
        <f>AA100</f>
        <v>7896.0649090909092</v>
      </c>
      <c r="I90" s="17"/>
      <c r="J90" s="5"/>
      <c r="K90" s="14"/>
      <c r="L90" s="14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f>G85*G22</f>
        <v>6141.3838181818182</v>
      </c>
    </row>
    <row r="91" spans="1:27" ht="15.45" x14ac:dyDescent="0.4">
      <c r="A91" s="21" t="s">
        <v>62</v>
      </c>
      <c r="B91" s="22"/>
      <c r="C91" s="22"/>
      <c r="D91" s="22"/>
      <c r="E91" s="41">
        <v>4.75</v>
      </c>
      <c r="F91" s="60">
        <v>0</v>
      </c>
      <c r="G91" s="48">
        <f>AA101</f>
        <v>4.75</v>
      </c>
      <c r="H91" s="49">
        <f>AA102</f>
        <v>10418.418977272728</v>
      </c>
      <c r="I91" s="14"/>
      <c r="J91" s="5"/>
      <c r="K91" s="3" t="s">
        <v>84</v>
      </c>
      <c r="L91" s="14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>
        <f>IF(E86=0,F86/G22,E86)</f>
        <v>8</v>
      </c>
    </row>
    <row r="92" spans="1:27" ht="15.45" x14ac:dyDescent="0.4">
      <c r="A92" s="21" t="s">
        <v>218</v>
      </c>
      <c r="B92" s="22"/>
      <c r="C92" s="22"/>
      <c r="D92" s="22"/>
      <c r="E92" s="41">
        <v>2.2000000000000002</v>
      </c>
      <c r="F92" s="60">
        <v>0</v>
      </c>
      <c r="G92" s="48">
        <f>AA103</f>
        <v>2.2000000000000002</v>
      </c>
      <c r="H92" s="49">
        <f>AA104</f>
        <v>4825.3730000000005</v>
      </c>
      <c r="I92" s="5"/>
      <c r="J92" s="5"/>
      <c r="K92" s="3" t="s">
        <v>85</v>
      </c>
      <c r="L92" s="14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>
        <f>G86*G22</f>
        <v>17546.810909090909</v>
      </c>
    </row>
    <row r="93" spans="1:27" ht="15.45" x14ac:dyDescent="0.4">
      <c r="A93" s="21"/>
      <c r="B93" s="22"/>
      <c r="C93" s="22"/>
      <c r="D93" s="22"/>
      <c r="E93" s="35"/>
      <c r="F93" s="31"/>
      <c r="G93" s="35"/>
      <c r="H93" s="30"/>
      <c r="I93" s="5"/>
      <c r="J93" s="5"/>
      <c r="K93" s="3" t="s">
        <v>87</v>
      </c>
      <c r="L93" s="14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f>IF(E87=0,F87/G22,E87)</f>
        <v>12</v>
      </c>
    </row>
    <row r="94" spans="1:27" ht="15.45" x14ac:dyDescent="0.4">
      <c r="A94" s="63"/>
      <c r="B94" s="22"/>
      <c r="C94" s="23"/>
      <c r="D94" s="36" t="s">
        <v>29</v>
      </c>
      <c r="E94" s="94" t="s">
        <v>63</v>
      </c>
      <c r="F94" s="23"/>
      <c r="G94" s="45"/>
      <c r="H94" s="46" t="s">
        <v>30</v>
      </c>
      <c r="I94" s="5"/>
      <c r="J94" s="5"/>
      <c r="K94" s="3" t="s">
        <v>88</v>
      </c>
      <c r="L94" s="14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>
        <f>G87*G22</f>
        <v>26320.216363636362</v>
      </c>
    </row>
    <row r="95" spans="1:27" ht="15.45" x14ac:dyDescent="0.4">
      <c r="A95" s="63"/>
      <c r="B95" s="22"/>
      <c r="C95" s="23"/>
      <c r="D95" s="36" t="s">
        <v>64</v>
      </c>
      <c r="E95" s="94" t="s">
        <v>65</v>
      </c>
      <c r="F95" s="22"/>
      <c r="G95" s="36" t="s">
        <v>32</v>
      </c>
      <c r="H95" s="46" t="str">
        <f>AA67</f>
        <v>2193 Lamb</v>
      </c>
      <c r="I95" s="14"/>
      <c r="J95" s="14"/>
      <c r="K95" s="14"/>
      <c r="L95" s="14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>
        <f>IF(E88=0,F88/G22,E88)</f>
        <v>0</v>
      </c>
    </row>
    <row r="96" spans="1:27" ht="15.45" x14ac:dyDescent="0.4">
      <c r="A96" s="21" t="s">
        <v>66</v>
      </c>
      <c r="B96" s="22"/>
      <c r="C96" s="23"/>
      <c r="D96" s="41">
        <v>0.25</v>
      </c>
      <c r="E96" s="94">
        <f ca="1">AA106</f>
        <v>0</v>
      </c>
      <c r="F96" s="31"/>
      <c r="G96" s="48">
        <f>AA107</f>
        <v>0.25</v>
      </c>
      <c r="H96" s="49">
        <f>AA108</f>
        <v>548.33784090909091</v>
      </c>
      <c r="I96" s="5"/>
      <c r="J96" s="14"/>
      <c r="K96" s="14"/>
      <c r="L96" s="14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f>G88*G22</f>
        <v>0</v>
      </c>
    </row>
    <row r="97" spans="1:27" ht="15.45" x14ac:dyDescent="0.4">
      <c r="A97" s="21" t="s">
        <v>67</v>
      </c>
      <c r="B97" s="22"/>
      <c r="C97" s="23"/>
      <c r="D97" s="41">
        <f>CapitalInvestment!F31</f>
        <v>0.83734873967256007</v>
      </c>
      <c r="E97" s="94">
        <f ca="1">AA109</f>
        <v>0</v>
      </c>
      <c r="F97" s="31"/>
      <c r="G97" s="48">
        <f>AA110</f>
        <v>0.83734873967256007</v>
      </c>
      <c r="H97" s="49">
        <f>AA111</f>
        <v>1836.6000000000001</v>
      </c>
      <c r="I97" s="5"/>
      <c r="J97" s="4"/>
      <c r="K97" s="14"/>
      <c r="L97" s="14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f>IF(E89=0,F89/G22,E89)</f>
        <v>0</v>
      </c>
    </row>
    <row r="98" spans="1:27" ht="15.45" x14ac:dyDescent="0.4">
      <c r="A98" s="21" t="s">
        <v>68</v>
      </c>
      <c r="B98" s="22"/>
      <c r="C98" s="23"/>
      <c r="D98" s="41">
        <f>CapitalInvestment!F30</f>
        <v>1.3144268847195855</v>
      </c>
      <c r="E98" s="94">
        <f ca="1">AA112</f>
        <v>0</v>
      </c>
      <c r="F98" s="31"/>
      <c r="G98" s="48">
        <f>AA113</f>
        <v>1.3144268847195855</v>
      </c>
      <c r="H98" s="49">
        <f>AA114</f>
        <v>2883</v>
      </c>
      <c r="I98" s="5"/>
      <c r="J98" s="14"/>
      <c r="K98" s="14"/>
      <c r="L98" s="14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>G89*G22</f>
        <v>0</v>
      </c>
    </row>
    <row r="99" spans="1:27" ht="15.45" x14ac:dyDescent="0.4">
      <c r="A99" s="21" t="s">
        <v>222</v>
      </c>
      <c r="B99" s="22"/>
      <c r="C99" s="22"/>
      <c r="D99" s="41">
        <v>0</v>
      </c>
      <c r="E99" s="94">
        <f ca="1">AA115</f>
        <v>0</v>
      </c>
      <c r="F99" s="31"/>
      <c r="G99" s="48">
        <f>AA116</f>
        <v>0</v>
      </c>
      <c r="H99" s="49">
        <f>AA117</f>
        <v>0</v>
      </c>
      <c r="I99" s="14"/>
      <c r="J99" s="14"/>
      <c r="K99" s="14"/>
      <c r="L99" s="14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f>IF(E90=0,F90/G22,E90)</f>
        <v>3.6</v>
      </c>
    </row>
    <row r="100" spans="1:27" ht="15.45" x14ac:dyDescent="0.4">
      <c r="A100" s="21" t="s">
        <v>70</v>
      </c>
      <c r="B100" s="22"/>
      <c r="C100" s="22"/>
      <c r="D100" s="41">
        <v>1.1000000000000001</v>
      </c>
      <c r="E100" s="94">
        <f ca="1">AA118</f>
        <v>0</v>
      </c>
      <c r="F100" s="31"/>
      <c r="G100" s="48">
        <f>AA119</f>
        <v>1.1000000000000001</v>
      </c>
      <c r="H100" s="49">
        <f>AA120</f>
        <v>2412.6865000000003</v>
      </c>
      <c r="I100" s="14"/>
      <c r="J100" s="14"/>
      <c r="K100" s="14"/>
      <c r="L100" s="14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>
        <f>G90*G22</f>
        <v>7896.0649090909092</v>
      </c>
    </row>
    <row r="101" spans="1:27" ht="15.45" x14ac:dyDescent="0.4">
      <c r="A101" s="21"/>
      <c r="B101" s="22"/>
      <c r="C101" s="22"/>
      <c r="D101" s="35"/>
      <c r="E101" s="94"/>
      <c r="F101" s="31"/>
      <c r="G101" s="35"/>
      <c r="H101" s="30"/>
      <c r="I101" s="5"/>
      <c r="J101" s="14"/>
      <c r="K101" s="14"/>
      <c r="L101" s="14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f>IF(E91=0,F91/G22,E91)</f>
        <v>4.75</v>
      </c>
    </row>
    <row r="102" spans="1:27" ht="15.45" x14ac:dyDescent="0.4">
      <c r="A102" s="21" t="s">
        <v>73</v>
      </c>
      <c r="B102" s="22"/>
      <c r="C102" s="36" t="s">
        <v>74</v>
      </c>
      <c r="D102" s="36" t="s">
        <v>75</v>
      </c>
      <c r="E102" s="94"/>
      <c r="F102" s="31"/>
      <c r="G102" s="35"/>
      <c r="H102" s="30"/>
      <c r="I102" s="5"/>
      <c r="J102" s="14"/>
      <c r="K102" s="14"/>
      <c r="L102" s="14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>
        <f>G91*G22</f>
        <v>10418.418977272728</v>
      </c>
    </row>
    <row r="103" spans="1:27" ht="15.45" x14ac:dyDescent="0.4">
      <c r="A103" s="21" t="s">
        <v>77</v>
      </c>
      <c r="B103" s="22"/>
      <c r="C103" s="28">
        <v>8</v>
      </c>
      <c r="D103" s="28">
        <v>50</v>
      </c>
      <c r="E103" s="94">
        <f ca="1">AA121</f>
        <v>0</v>
      </c>
      <c r="F103" s="31"/>
      <c r="G103" s="48">
        <f ca="1">AA122</f>
        <v>5.4566074989628364</v>
      </c>
      <c r="H103" s="49">
        <f ca="1">AA123</f>
        <v>11968.257498678546</v>
      </c>
      <c r="I103" s="5"/>
      <c r="J103" s="14"/>
      <c r="K103" s="14"/>
      <c r="L103" s="14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>
        <f>IF(E92=0,F92/G22,E92)</f>
        <v>2.2000000000000002</v>
      </c>
    </row>
    <row r="104" spans="1:27" ht="15.45" x14ac:dyDescent="0.4">
      <c r="A104" s="34"/>
      <c r="B104" s="22"/>
      <c r="C104" s="23"/>
      <c r="D104" s="23"/>
      <c r="E104" s="31"/>
      <c r="F104" s="31"/>
      <c r="G104" s="36" t="s">
        <v>46</v>
      </c>
      <c r="H104" s="46" t="s">
        <v>45</v>
      </c>
      <c r="I104" s="5"/>
      <c r="J104" s="14"/>
      <c r="K104" s="14"/>
      <c r="L104" s="14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>
        <f>G92*G22</f>
        <v>4825.3730000000005</v>
      </c>
    </row>
    <row r="105" spans="1:27" ht="15.45" x14ac:dyDescent="0.4">
      <c r="A105" s="21" t="s">
        <v>79</v>
      </c>
      <c r="B105" s="23"/>
      <c r="C105" s="22"/>
      <c r="D105" s="22"/>
      <c r="E105" s="35"/>
      <c r="F105" s="23"/>
      <c r="G105" s="48">
        <f ca="1">AA124</f>
        <v>291.53139641731588</v>
      </c>
      <c r="H105" s="49">
        <f ca="1">AA125</f>
        <v>639430.78587473312</v>
      </c>
      <c r="I105" s="5"/>
      <c r="J105" s="14"/>
      <c r="K105" s="14"/>
      <c r="L105" s="14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 t="str">
        <f>""&amp;FIXED(H7,0,TRUE)&amp;" Lamb"</f>
        <v>2238 Lamb</v>
      </c>
    </row>
    <row r="106" spans="1:27" ht="15.45" x14ac:dyDescent="0.4">
      <c r="A106" s="21"/>
      <c r="B106" s="22"/>
      <c r="C106" s="22"/>
      <c r="D106" s="22"/>
      <c r="E106" s="35"/>
      <c r="F106" s="35"/>
      <c r="G106" s="35"/>
      <c r="H106" s="30"/>
      <c r="I106" s="5"/>
      <c r="J106" s="14"/>
      <c r="K106" s="14"/>
      <c r="L106" s="14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f ca="1">IF(K78=0,0,HLOOKUP(A2,INDIRECT(K22),2,FALSE)*INDIRECT(K78)*0.01)</f>
        <v>0</v>
      </c>
    </row>
    <row r="107" spans="1:27" ht="15.45" x14ac:dyDescent="0.4">
      <c r="A107" s="34"/>
      <c r="B107" s="22"/>
      <c r="C107" s="22"/>
      <c r="D107" s="36" t="s">
        <v>29</v>
      </c>
      <c r="E107" s="94" t="s">
        <v>63</v>
      </c>
      <c r="F107" s="35"/>
      <c r="G107" s="42"/>
      <c r="H107" s="46" t="s">
        <v>30</v>
      </c>
      <c r="I107" s="5"/>
      <c r="J107" s="14"/>
      <c r="K107" s="14"/>
      <c r="L107" s="14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9">
        <f>D96</f>
        <v>0.25</v>
      </c>
    </row>
    <row r="108" spans="1:27" ht="15.45" x14ac:dyDescent="0.4">
      <c r="A108" s="21" t="s">
        <v>81</v>
      </c>
      <c r="B108" s="23"/>
      <c r="C108" s="23"/>
      <c r="D108" s="36" t="s">
        <v>64</v>
      </c>
      <c r="E108" s="94" t="s">
        <v>65</v>
      </c>
      <c r="F108" s="31"/>
      <c r="G108" s="36" t="s">
        <v>32</v>
      </c>
      <c r="H108" s="46" t="str">
        <f>AA67</f>
        <v>2193 Lamb</v>
      </c>
      <c r="I108" s="5"/>
      <c r="J108" s="14"/>
      <c r="K108" s="14"/>
      <c r="L108" s="14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>G96*G22</f>
        <v>548.33784090909091</v>
      </c>
    </row>
    <row r="109" spans="1:27" ht="15.45" x14ac:dyDescent="0.4">
      <c r="A109" s="21" t="s">
        <v>82</v>
      </c>
      <c r="B109" s="22"/>
      <c r="C109" s="23"/>
      <c r="D109" s="41">
        <f>SUM(CapitalInvestment!F41)</f>
        <v>6.0174626914851972</v>
      </c>
      <c r="E109" s="94">
        <f ca="1">AA128</f>
        <v>0</v>
      </c>
      <c r="F109" s="35"/>
      <c r="G109" s="48">
        <f>AA129</f>
        <v>6.0174626914851972</v>
      </c>
      <c r="H109" s="49">
        <f>AA130</f>
        <v>13198.41</v>
      </c>
      <c r="I109" s="5"/>
      <c r="J109" s="14"/>
      <c r="K109" s="14"/>
      <c r="L109" s="14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>
        <f ca="1">IF(K79=0,0,HLOOKUP(A2,INDIRECT(K22),3,FALSE)*INDIRECT(K79)*0.01)</f>
        <v>0</v>
      </c>
    </row>
    <row r="110" spans="1:27" ht="15.45" x14ac:dyDescent="0.4">
      <c r="A110" s="21" t="s">
        <v>216</v>
      </c>
      <c r="B110" s="22"/>
      <c r="C110" s="23"/>
      <c r="D110" s="41">
        <f>CapitalInvestment!F49</f>
        <v>3.7155469639341869</v>
      </c>
      <c r="E110" s="94">
        <f ca="1">AA131</f>
        <v>0</v>
      </c>
      <c r="F110" s="35"/>
      <c r="G110" s="48">
        <f>AA132</f>
        <v>3.7155469639341869</v>
      </c>
      <c r="H110" s="49">
        <f>AA133</f>
        <v>8149.5</v>
      </c>
      <c r="I110" s="5"/>
      <c r="J110" s="14"/>
      <c r="K110" s="14"/>
      <c r="L110" s="14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9">
        <f>D97</f>
        <v>0.83734873967256007</v>
      </c>
    </row>
    <row r="111" spans="1:27" ht="15.45" x14ac:dyDescent="0.4">
      <c r="A111" s="21" t="s">
        <v>56</v>
      </c>
      <c r="B111" s="22"/>
      <c r="C111" s="22"/>
      <c r="D111" s="41">
        <f>CapitalInvestment!F52+CapitalInvestment!F53</f>
        <v>0.43035512487842909</v>
      </c>
      <c r="E111" s="94">
        <f ca="1">AA134</f>
        <v>0</v>
      </c>
      <c r="F111" s="22"/>
      <c r="G111" s="48">
        <f>AA135</f>
        <v>0.43035512487842909</v>
      </c>
      <c r="H111" s="49">
        <f>AA136</f>
        <v>943.92</v>
      </c>
      <c r="I111" s="5"/>
      <c r="J111" s="14"/>
      <c r="K111" s="14"/>
      <c r="L111" s="14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f>G97*G22</f>
        <v>1836.6000000000001</v>
      </c>
    </row>
    <row r="112" spans="1:27" ht="15.45" x14ac:dyDescent="0.4">
      <c r="A112" s="21" t="s">
        <v>83</v>
      </c>
      <c r="B112" s="23"/>
      <c r="C112" s="23"/>
      <c r="D112" s="41">
        <v>0</v>
      </c>
      <c r="E112" s="94">
        <f ca="1">AA137</f>
        <v>0</v>
      </c>
      <c r="F112" s="35"/>
      <c r="G112" s="48">
        <f>AA138</f>
        <v>0</v>
      </c>
      <c r="H112" s="49">
        <f>AA139</f>
        <v>0</v>
      </c>
      <c r="I112" s="5"/>
      <c r="J112" s="14"/>
      <c r="K112" s="14"/>
      <c r="L112" s="14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>
        <f ca="1">IF(K80=0,0,HLOOKUP(A2,INDIRECT(K22),4,FALSE)*INDIRECT(K80)*0.01)</f>
        <v>0</v>
      </c>
    </row>
    <row r="113" spans="1:27" ht="15.45" x14ac:dyDescent="0.4">
      <c r="A113" s="34"/>
      <c r="B113" s="22"/>
      <c r="C113" s="22"/>
      <c r="D113" s="35"/>
      <c r="E113" s="31"/>
      <c r="F113" s="35"/>
      <c r="G113" s="36" t="s">
        <v>46</v>
      </c>
      <c r="H113" s="46" t="s">
        <v>45</v>
      </c>
      <c r="I113" s="5"/>
      <c r="J113" s="14"/>
      <c r="K113" s="14"/>
      <c r="L113" s="14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>
        <f>D98</f>
        <v>1.3144268847195855</v>
      </c>
    </row>
    <row r="114" spans="1:27" ht="15.45" x14ac:dyDescent="0.4">
      <c r="A114" s="21" t="s">
        <v>86</v>
      </c>
      <c r="B114" s="22"/>
      <c r="C114" s="22"/>
      <c r="D114" s="35"/>
      <c r="E114" s="31"/>
      <c r="F114" s="35"/>
      <c r="G114" s="48">
        <f>AA140</f>
        <v>9.9600974846918557</v>
      </c>
      <c r="H114" s="49">
        <f>AA141</f>
        <v>22291.829999999998</v>
      </c>
      <c r="I114" s="14"/>
      <c r="J114" s="14"/>
      <c r="K114" s="3"/>
      <c r="L114" s="14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>
        <f>G98*G22</f>
        <v>2883</v>
      </c>
    </row>
    <row r="115" spans="1:27" ht="15.45" x14ac:dyDescent="0.4">
      <c r="A115" s="34"/>
      <c r="B115" s="22"/>
      <c r="C115" s="22"/>
      <c r="D115" s="22"/>
      <c r="E115" s="35"/>
      <c r="F115" s="35"/>
      <c r="G115" s="22"/>
      <c r="H115" s="24"/>
      <c r="I115" s="5"/>
      <c r="J115" s="14"/>
      <c r="K115" s="3"/>
      <c r="L115" s="14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>
        <f ca="1">IF(K81=0,0,HLOOKUP(A2,INDIRECT(K22),5,FALSE)*INDIRECT(K81)*0.01)</f>
        <v>0</v>
      </c>
    </row>
    <row r="116" spans="1:27" ht="15.45" x14ac:dyDescent="0.4">
      <c r="A116" s="43"/>
      <c r="B116" s="43"/>
      <c r="C116" s="43"/>
      <c r="D116" s="43"/>
      <c r="E116" s="43"/>
      <c r="F116" s="43"/>
      <c r="G116" s="43"/>
      <c r="H116" s="43"/>
      <c r="I116" s="14"/>
      <c r="J116" s="14"/>
      <c r="K116" s="3"/>
      <c r="L116" s="14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9">
        <f>D99</f>
        <v>0</v>
      </c>
    </row>
    <row r="117" spans="1:27" ht="15.45" x14ac:dyDescent="0.4">
      <c r="A117" s="21" t="s">
        <v>89</v>
      </c>
      <c r="B117" s="22"/>
      <c r="C117" s="22"/>
      <c r="D117" s="22"/>
      <c r="E117" s="36" t="s">
        <v>32</v>
      </c>
      <c r="F117" s="36" t="s">
        <v>30</v>
      </c>
      <c r="G117" s="31"/>
      <c r="H117" s="24"/>
      <c r="I117" s="5"/>
      <c r="J117" s="5"/>
      <c r="K117" s="3"/>
      <c r="L117" s="14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>
        <f>G99*G22</f>
        <v>0</v>
      </c>
    </row>
    <row r="118" spans="1:27" ht="15.45" x14ac:dyDescent="0.4">
      <c r="A118" s="21" t="s">
        <v>90</v>
      </c>
      <c r="B118" s="22"/>
      <c r="C118" s="64"/>
      <c r="D118" s="22"/>
      <c r="E118" s="48">
        <f>AA142</f>
        <v>285.65039999999999</v>
      </c>
      <c r="F118" s="42">
        <f>AA143</f>
        <v>639318.05547272728</v>
      </c>
      <c r="G118" s="31"/>
      <c r="H118" s="30"/>
      <c r="I118" s="5"/>
      <c r="J118" s="5"/>
      <c r="K118" s="3"/>
      <c r="L118" s="14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>
        <f ca="1">IF(K82=0,0,HLOOKUP(A2,INDIRECT(K22),6,FALSE)*INDIRECT(K82)*0.01)</f>
        <v>0</v>
      </c>
    </row>
    <row r="119" spans="1:27" ht="15.45" x14ac:dyDescent="0.4">
      <c r="A119" s="21" t="s">
        <v>91</v>
      </c>
      <c r="B119" s="22"/>
      <c r="C119" s="22"/>
      <c r="D119" s="23"/>
      <c r="E119" s="48">
        <f ca="1">AA144</f>
        <v>285.70076848896957</v>
      </c>
      <c r="F119" s="42">
        <f ca="1">AA145</f>
        <v>639430.78587473312</v>
      </c>
      <c r="G119" s="35"/>
      <c r="H119" s="65"/>
      <c r="I119" s="5"/>
      <c r="J119" s="3"/>
      <c r="K119" s="3"/>
      <c r="L119" s="14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9">
        <f>D100</f>
        <v>1.1000000000000001</v>
      </c>
    </row>
    <row r="120" spans="1:27" ht="15.45" x14ac:dyDescent="0.4">
      <c r="A120" s="34"/>
      <c r="B120" s="22"/>
      <c r="C120" s="22"/>
      <c r="D120" s="22"/>
      <c r="E120" s="48" t="s">
        <v>46</v>
      </c>
      <c r="F120" s="36" t="s">
        <v>45</v>
      </c>
      <c r="G120" s="22"/>
      <c r="H120" s="24"/>
      <c r="I120" s="5"/>
      <c r="J120" s="14"/>
      <c r="K120" s="3"/>
      <c r="L120" s="14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>
        <f>G100*G22</f>
        <v>2412.6865000000003</v>
      </c>
    </row>
    <row r="121" spans="1:27" ht="15.45" x14ac:dyDescent="0.4">
      <c r="A121" s="21" t="s">
        <v>92</v>
      </c>
      <c r="B121" s="22"/>
      <c r="C121" s="31"/>
      <c r="D121" s="22"/>
      <c r="E121" s="48">
        <f ca="1">AA146</f>
        <v>-5.0368488969574618E-2</v>
      </c>
      <c r="F121" s="42">
        <f ca="1">AA147</f>
        <v>-112.73040200583637</v>
      </c>
      <c r="G121" s="31"/>
      <c r="H121" s="24"/>
      <c r="I121" s="5"/>
      <c r="J121" s="3"/>
      <c r="K121" s="3"/>
      <c r="L121" s="14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>
        <f ca="1">IF(K85=0,0,HLOOKUP(T(A2),INDIRECT(K22),7,FALSE)*INDIRECT(K85)*0.01)</f>
        <v>0</v>
      </c>
    </row>
    <row r="122" spans="1:27" ht="15.45" x14ac:dyDescent="0.4">
      <c r="A122" s="21" t="s">
        <v>93</v>
      </c>
      <c r="B122" s="22"/>
      <c r="C122" s="22"/>
      <c r="D122" s="22"/>
      <c r="E122" s="48">
        <f>AA148</f>
        <v>9.9600974846918557</v>
      </c>
      <c r="F122" s="42">
        <f>AA149</f>
        <v>22291.829999999998</v>
      </c>
      <c r="G122" s="22"/>
      <c r="H122" s="24"/>
      <c r="I122" s="5"/>
      <c r="J122" s="5"/>
      <c r="K122" s="14"/>
      <c r="L122" s="14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>
        <f ca="1">H103/G22</f>
        <v>5.4566074989628364</v>
      </c>
    </row>
    <row r="123" spans="1:27" ht="15.45" x14ac:dyDescent="0.4">
      <c r="A123" s="34"/>
      <c r="B123" s="22"/>
      <c r="C123" s="23"/>
      <c r="D123" s="35"/>
      <c r="E123" s="48" t="s">
        <v>46</v>
      </c>
      <c r="F123" s="36" t="s">
        <v>45</v>
      </c>
      <c r="G123" s="35"/>
      <c r="H123" s="30"/>
      <c r="I123" s="5"/>
      <c r="J123" s="5"/>
      <c r="K123" s="5"/>
      <c r="L123" s="14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>
        <f ca="1">IF(E103=0,J85,IF(INDIRECT(K85)&gt;0,E103,J85))</f>
        <v>11968.257498678546</v>
      </c>
    </row>
    <row r="124" spans="1:27" ht="15.45" x14ac:dyDescent="0.4">
      <c r="A124" s="21" t="s">
        <v>94</v>
      </c>
      <c r="B124" s="22"/>
      <c r="C124" s="31"/>
      <c r="D124" s="35"/>
      <c r="E124" s="48">
        <f ca="1">AA150</f>
        <v>-10.010465973661431</v>
      </c>
      <c r="F124" s="42">
        <f ca="1">AA151</f>
        <v>-22404.560402005834</v>
      </c>
      <c r="G124" s="35"/>
      <c r="H124" s="30"/>
      <c r="I124" s="5"/>
      <c r="J124" s="5"/>
      <c r="K124" s="5"/>
      <c r="L124" s="14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>
        <f ca="1">H105/G22</f>
        <v>291.53139641731588</v>
      </c>
    </row>
    <row r="125" spans="1:27" ht="15.45" x14ac:dyDescent="0.4">
      <c r="A125" s="21"/>
      <c r="B125" s="22"/>
      <c r="C125" s="31"/>
      <c r="D125" s="35"/>
      <c r="E125" s="22"/>
      <c r="F125" s="22"/>
      <c r="G125" s="35"/>
      <c r="H125" s="30"/>
      <c r="I125" s="5">
        <f>AA159</f>
        <v>-0.38</v>
      </c>
      <c r="J125" s="5"/>
      <c r="K125" s="5"/>
      <c r="L125" s="14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6">
        <f ca="1">SUM(H80:H103,H59,H63:H65,H69)</f>
        <v>639430.78587473312</v>
      </c>
    </row>
    <row r="126" spans="1:27" ht="15.45" x14ac:dyDescent="0.4">
      <c r="A126" s="21" t="s">
        <v>95</v>
      </c>
      <c r="B126" s="35"/>
      <c r="C126" s="31"/>
      <c r="D126" s="35"/>
      <c r="E126" s="31"/>
      <c r="F126" s="31"/>
      <c r="G126" s="35"/>
      <c r="H126" s="30"/>
      <c r="I126" s="5">
        <f>AA161</f>
        <v>234.11164702551318</v>
      </c>
      <c r="J126" s="5"/>
      <c r="K126" s="5"/>
      <c r="L126" s="14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>
        <f>C103/100*(H63*F21/365)+(D103/100)*(SUM(H69,H59,H64,H65,H80:H92,H96:H100,-H86,-H87)*C103/100)</f>
        <v>11968.257498678546</v>
      </c>
    </row>
    <row r="127" spans="1:27" ht="15.45" x14ac:dyDescent="0.4">
      <c r="A127" s="21" t="s">
        <v>96</v>
      </c>
      <c r="B127" s="22"/>
      <c r="C127" s="31"/>
      <c r="D127" s="22"/>
      <c r="E127" s="29" t="s">
        <v>97</v>
      </c>
      <c r="F127" s="35"/>
      <c r="G127" s="48">
        <f ca="1">AA152</f>
        <v>267.45999671313382</v>
      </c>
      <c r="H127" s="24"/>
      <c r="I127" s="5">
        <f>AA163</f>
        <v>12989676070.720438</v>
      </c>
      <c r="J127" s="14"/>
      <c r="K127" s="5"/>
      <c r="L127" s="14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 t="str">
        <f>""&amp;FIXED(H7,0,TRUE)&amp;" Lamb"</f>
        <v>2238 Lamb</v>
      </c>
    </row>
    <row r="128" spans="1:27" ht="15.45" x14ac:dyDescent="0.4">
      <c r="A128" s="34"/>
      <c r="B128" s="22"/>
      <c r="C128" s="31"/>
      <c r="D128" s="22"/>
      <c r="E128" s="29" t="s">
        <v>98</v>
      </c>
      <c r="F128" s="35"/>
      <c r="G128" s="48">
        <f>AA153</f>
        <v>9.324187871832855</v>
      </c>
      <c r="H128" s="30"/>
      <c r="I128" s="5">
        <f>AA165</f>
        <v>846546797.7277894</v>
      </c>
      <c r="J128" s="14"/>
      <c r="K128" s="14"/>
      <c r="L128" s="14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>
        <f ca="1">IF(K91=0,0,HLOOKUP(A2,INDIRECT(K22),9,FALSE)*INDIRECT(K91)*0.01)</f>
        <v>0</v>
      </c>
    </row>
    <row r="129" spans="1:27" ht="15.45" x14ac:dyDescent="0.4">
      <c r="A129" s="34"/>
      <c r="B129" s="23"/>
      <c r="C129" s="22"/>
      <c r="D129" s="23"/>
      <c r="E129" s="23"/>
      <c r="F129" s="31"/>
      <c r="G129" s="36" t="s">
        <v>99</v>
      </c>
      <c r="H129" s="30"/>
      <c r="I129" s="5">
        <f>AA167</f>
        <v>117627.474972679</v>
      </c>
      <c r="J129" s="14"/>
      <c r="K129" s="3"/>
      <c r="L129" s="14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>
        <f>H109/G22</f>
        <v>6.0174626914851972</v>
      </c>
    </row>
    <row r="130" spans="1:27" ht="15.45" x14ac:dyDescent="0.4">
      <c r="A130" s="34"/>
      <c r="B130" s="22"/>
      <c r="C130" s="22"/>
      <c r="D130" s="22"/>
      <c r="E130" s="29" t="s">
        <v>100</v>
      </c>
      <c r="F130" s="22"/>
      <c r="G130" s="48">
        <f ca="1">AA154</f>
        <v>276.78418458496668</v>
      </c>
      <c r="H130" s="24"/>
      <c r="I130" s="5">
        <f>AA168</f>
        <v>52.556524861621249</v>
      </c>
      <c r="J130" s="14"/>
      <c r="K130" s="3"/>
      <c r="L130" s="14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>
        <f>D109*G22</f>
        <v>13198.41</v>
      </c>
    </row>
    <row r="131" spans="1:27" ht="15.45" x14ac:dyDescent="0.4">
      <c r="A131" s="34"/>
      <c r="B131" s="22"/>
      <c r="C131" s="22"/>
      <c r="D131" s="22"/>
      <c r="E131" s="29"/>
      <c r="F131" s="22"/>
      <c r="G131" s="48"/>
      <c r="H131" s="24"/>
      <c r="I131" s="5"/>
      <c r="J131" s="5" t="s">
        <v>119</v>
      </c>
      <c r="K131" s="5" t="s">
        <v>120</v>
      </c>
      <c r="L131" s="14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>
        <f ca="1">IF(K92=0,0,HLOOKUP(A2,INDIRECT(K22),10,FALSE)*INDIRECT(K92)*0.01)</f>
        <v>0</v>
      </c>
    </row>
    <row r="132" spans="1:27" ht="15.45" x14ac:dyDescent="0.4">
      <c r="A132" s="34"/>
      <c r="B132" s="22"/>
      <c r="C132" s="22"/>
      <c r="D132" s="22"/>
      <c r="E132" s="22" t="s">
        <v>223</v>
      </c>
      <c r="F132" s="35"/>
      <c r="G132" s="48">
        <f>AA183</f>
        <v>1.6580333951762523</v>
      </c>
      <c r="H132" s="30"/>
      <c r="I132" s="5">
        <f ca="1">AA169</f>
        <v>0.1904704696518367</v>
      </c>
      <c r="J132" s="5">
        <f ca="1">AA170</f>
        <v>0.1904704696518367</v>
      </c>
      <c r="K132" s="5">
        <f ca="1">AA171</f>
        <v>0.4267373531305147</v>
      </c>
      <c r="L132" s="14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>
        <f>H110/G22</f>
        <v>3.7155469639341869</v>
      </c>
    </row>
    <row r="133" spans="1:27" ht="15.45" x14ac:dyDescent="0.4">
      <c r="A133" s="43"/>
      <c r="B133" s="43"/>
      <c r="C133" s="43"/>
      <c r="D133" s="43"/>
      <c r="E133" s="43"/>
      <c r="F133" s="43"/>
      <c r="G133" s="43"/>
      <c r="H133" s="43"/>
      <c r="I133" s="5">
        <f ca="1">AA172</f>
        <v>0.95774345697795005</v>
      </c>
      <c r="J133" s="5">
        <f ca="1">AA173</f>
        <v>0.95774345697795005</v>
      </c>
      <c r="K133" s="5">
        <f ca="1">AA174</f>
        <v>0.91004210886336312</v>
      </c>
      <c r="L133" s="14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>
        <f>D110*G22</f>
        <v>8149.5</v>
      </c>
    </row>
    <row r="134" spans="1:27" ht="15.45" x14ac:dyDescent="0.4">
      <c r="A134" s="34"/>
      <c r="B134" s="29" t="s">
        <v>101</v>
      </c>
      <c r="C134" s="22"/>
      <c r="D134" s="35"/>
      <c r="E134" s="22"/>
      <c r="F134" s="35"/>
      <c r="G134" s="66">
        <f ca="1">AA155</f>
        <v>0.42447025572245478</v>
      </c>
      <c r="H134" s="30"/>
      <c r="I134" s="5">
        <f ca="1">AA176</f>
        <v>0.3917709067420303</v>
      </c>
      <c r="J134" s="5">
        <f ca="1">AA177</f>
        <v>0.3917709067420303</v>
      </c>
      <c r="K134" s="5">
        <f ca="1">AA178</f>
        <v>0.36422228815806029</v>
      </c>
      <c r="L134" s="14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>
        <f ca="1">IF(K93=0,0,HLOOKUP(A2,INDIRECT(K22),11,FALSE)*INDIRECT(K93)*0.01)</f>
        <v>0</v>
      </c>
    </row>
    <row r="135" spans="1:27" ht="15.45" x14ac:dyDescent="0.4">
      <c r="A135" s="63"/>
      <c r="B135" s="29" t="s">
        <v>102</v>
      </c>
      <c r="C135" s="22"/>
      <c r="D135" s="28">
        <v>0</v>
      </c>
      <c r="E135" s="29" t="s">
        <v>103</v>
      </c>
      <c r="F135" s="22"/>
      <c r="G135" s="66">
        <f ca="1">AA156</f>
        <v>0.42447025572245478</v>
      </c>
      <c r="H135" s="24"/>
      <c r="I135" s="5">
        <f ca="1">AA180</f>
        <v>0.42447025572245478</v>
      </c>
      <c r="J135" s="5">
        <f ca="1">AA181</f>
        <v>0.42447025572245478</v>
      </c>
      <c r="K135" s="5">
        <f ca="1">AA182</f>
        <v>0.33478535316635544</v>
      </c>
      <c r="L135" s="14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>
        <f>H111/G22</f>
        <v>0.43035512487842909</v>
      </c>
    </row>
    <row r="136" spans="1:27" ht="15.45" x14ac:dyDescent="0.4">
      <c r="A136" s="34"/>
      <c r="B136" s="29" t="s">
        <v>104</v>
      </c>
      <c r="C136" s="22"/>
      <c r="D136" s="35"/>
      <c r="E136" s="31"/>
      <c r="F136" s="35"/>
      <c r="G136" s="48">
        <f>AA157</f>
        <v>0.18398897695092062</v>
      </c>
      <c r="H136" s="30"/>
      <c r="I136" s="5"/>
      <c r="J136" s="5"/>
      <c r="K136" s="5"/>
      <c r="L136" s="14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>
        <f>D111*G22</f>
        <v>943.92</v>
      </c>
    </row>
    <row r="137" spans="1:27" ht="15.45" x14ac:dyDescent="0.4">
      <c r="A137" s="34"/>
      <c r="B137" s="22"/>
      <c r="C137" s="31"/>
      <c r="D137" s="23"/>
      <c r="E137" s="22"/>
      <c r="F137" s="31"/>
      <c r="G137" s="67"/>
      <c r="H137" s="68"/>
      <c r="I137" s="5"/>
      <c r="J137" s="5"/>
      <c r="K137" s="5"/>
      <c r="L137" s="14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>
        <f ca="1">IF(K94=0,0,HLOOKUP(A2,INDIRECT(K22),12,FALSE)*INDIRECT(K94)*0.01)</f>
        <v>0</v>
      </c>
    </row>
    <row r="138" spans="1:27" ht="15.45" x14ac:dyDescent="0.4">
      <c r="A138" s="63"/>
      <c r="B138" s="22"/>
      <c r="C138" s="31"/>
      <c r="D138" s="22"/>
      <c r="E138" s="36" t="s">
        <v>105</v>
      </c>
      <c r="F138" s="35"/>
      <c r="G138" s="35"/>
      <c r="H138" s="30"/>
      <c r="I138" s="5"/>
      <c r="J138" s="3"/>
      <c r="K138" s="14"/>
      <c r="L138" s="14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>
        <f>H112/G22</f>
        <v>0</v>
      </c>
    </row>
    <row r="139" spans="1:27" ht="15.45" x14ac:dyDescent="0.4">
      <c r="A139" s="34"/>
      <c r="B139" s="22"/>
      <c r="C139" s="36" t="s">
        <v>106</v>
      </c>
      <c r="D139" s="48"/>
      <c r="E139" s="36" t="s">
        <v>107</v>
      </c>
      <c r="F139" s="48"/>
      <c r="G139" s="31"/>
      <c r="H139" s="30"/>
      <c r="I139" s="3"/>
      <c r="J139" s="3"/>
      <c r="K139" s="14"/>
      <c r="L139" s="14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>
        <f>D112*G22</f>
        <v>0</v>
      </c>
    </row>
    <row r="140" spans="1:27" ht="15.45" x14ac:dyDescent="0.4">
      <c r="A140" s="63"/>
      <c r="B140" s="22"/>
      <c r="C140" s="36"/>
      <c r="D140" s="42"/>
      <c r="E140" s="45"/>
      <c r="F140" s="42"/>
      <c r="G140" s="35"/>
      <c r="H140" s="68"/>
      <c r="I140" s="5"/>
      <c r="J140" s="5"/>
      <c r="K140" s="14"/>
      <c r="L140" s="14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>
        <f>H114/H7</f>
        <v>9.9600974846918557</v>
      </c>
    </row>
    <row r="141" spans="1:27" ht="15.45" x14ac:dyDescent="0.4">
      <c r="A141" s="34"/>
      <c r="B141" s="23"/>
      <c r="C141" s="42">
        <f ca="1">AA158</f>
        <v>40.969363142111177</v>
      </c>
      <c r="D141" s="45"/>
      <c r="E141" s="99" t="s">
        <v>108</v>
      </c>
      <c r="F141" s="48"/>
      <c r="G141" s="31"/>
      <c r="H141" s="69" t="s">
        <v>109</v>
      </c>
      <c r="I141" s="5"/>
      <c r="J141" s="5"/>
      <c r="K141" s="14"/>
      <c r="L141" s="14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6">
        <f>SUM(H109:H112)</f>
        <v>22291.829999999998</v>
      </c>
    </row>
    <row r="142" spans="1:27" ht="15.45" x14ac:dyDescent="0.4">
      <c r="A142" s="34"/>
      <c r="B142" s="23"/>
      <c r="C142" s="42">
        <f ca="1">AA160</f>
        <v>12.588839716835706</v>
      </c>
      <c r="D142" s="45"/>
      <c r="E142" s="99" t="s">
        <v>110</v>
      </c>
      <c r="F142" s="45"/>
      <c r="G142" s="22"/>
      <c r="H142" s="69" t="s">
        <v>111</v>
      </c>
      <c r="I142" s="5"/>
      <c r="J142" s="5"/>
      <c r="K142" s="14"/>
      <c r="L142" s="14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>
        <f>AB16/H7</f>
        <v>285.65039999999999</v>
      </c>
    </row>
    <row r="143" spans="1:27" ht="15.45" x14ac:dyDescent="0.4">
      <c r="A143" s="63"/>
      <c r="B143" s="22"/>
      <c r="C143" s="42">
        <f ca="1">AA162</f>
        <v>-10.010465973661431</v>
      </c>
      <c r="D143" s="45"/>
      <c r="E143" s="99" t="s">
        <v>112</v>
      </c>
      <c r="F143" s="48"/>
      <c r="G143" s="35"/>
      <c r="H143" s="69" t="s">
        <v>113</v>
      </c>
      <c r="I143" s="5"/>
      <c r="J143" s="5"/>
      <c r="K143" s="14"/>
      <c r="L143" s="14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>
        <f>E118*H7</f>
        <v>639318.05547272728</v>
      </c>
    </row>
    <row r="144" spans="1:27" ht="15.45" x14ac:dyDescent="0.4">
      <c r="A144" s="63"/>
      <c r="B144" s="22"/>
      <c r="C144" s="42">
        <f ca="1">AA164</f>
        <v>-32.609771664158565</v>
      </c>
      <c r="D144" s="45"/>
      <c r="E144" s="99" t="s">
        <v>114</v>
      </c>
      <c r="F144" s="48"/>
      <c r="G144" s="35"/>
      <c r="H144" s="69" t="s">
        <v>115</v>
      </c>
      <c r="I144" s="14"/>
      <c r="J144" s="14"/>
      <c r="K144" s="14"/>
      <c r="L144" s="14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>
        <f ca="1">F119/H7</f>
        <v>285.70076848896957</v>
      </c>
    </row>
    <row r="145" spans="1:27" ht="15.45" x14ac:dyDescent="0.4">
      <c r="A145" s="63"/>
      <c r="B145" s="22"/>
      <c r="C145" s="42">
        <f ca="1">AA166</f>
        <v>-60.990295089434042</v>
      </c>
      <c r="D145" s="45"/>
      <c r="E145" s="99" t="s">
        <v>116</v>
      </c>
      <c r="F145" s="45"/>
      <c r="G145" s="22"/>
      <c r="H145" s="69" t="s">
        <v>117</v>
      </c>
      <c r="I145" s="14"/>
      <c r="J145" s="14"/>
      <c r="K145" s="14"/>
      <c r="L145" s="14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6">
        <f ca="1">H105</f>
        <v>639430.78587473312</v>
      </c>
    </row>
    <row r="146" spans="1:27" ht="15.45" x14ac:dyDescent="0.4">
      <c r="A146" s="63"/>
      <c r="B146" s="22"/>
      <c r="C146" s="42"/>
      <c r="D146" s="45"/>
      <c r="E146" s="45"/>
      <c r="F146" s="48"/>
      <c r="G146" s="35"/>
      <c r="H146" s="69" t="s">
        <v>118</v>
      </c>
      <c r="I146" s="14"/>
      <c r="J146" s="14"/>
      <c r="K146" s="14"/>
      <c r="L146" s="14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>
        <f ca="1">F121/H7</f>
        <v>-5.0368488969574618E-2</v>
      </c>
    </row>
    <row r="147" spans="1:27" ht="15.45" x14ac:dyDescent="0.4">
      <c r="A147" s="34"/>
      <c r="B147" s="23"/>
      <c r="C147" s="31"/>
      <c r="D147" s="23"/>
      <c r="E147" s="22"/>
      <c r="F147" s="23"/>
      <c r="G147" s="23"/>
      <c r="H147" s="68"/>
      <c r="I147" s="5"/>
      <c r="J147" s="5"/>
      <c r="K147" s="14"/>
      <c r="L147" s="14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6">
        <f ca="1">F118-F119</f>
        <v>-112.73040200583637</v>
      </c>
    </row>
    <row r="148" spans="1:27" ht="15.45" x14ac:dyDescent="0.4">
      <c r="A148" s="21"/>
      <c r="B148" s="29" t="s">
        <v>121</v>
      </c>
      <c r="C148" s="22"/>
      <c r="D148" s="22"/>
      <c r="E148" s="22"/>
      <c r="F148" s="35"/>
      <c r="G148" s="67"/>
      <c r="H148" s="69" t="s">
        <v>122</v>
      </c>
      <c r="I148" s="5"/>
      <c r="J148" s="5"/>
      <c r="K148" s="14"/>
      <c r="L148" s="14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>
        <f>F122/H7</f>
        <v>9.9600974846918557</v>
      </c>
    </row>
    <row r="149" spans="1:27" ht="15.45" x14ac:dyDescent="0.4">
      <c r="A149" s="63"/>
      <c r="B149" s="29" t="s">
        <v>123</v>
      </c>
      <c r="C149" s="22"/>
      <c r="D149" s="23"/>
      <c r="E149" s="22"/>
      <c r="F149" s="28">
        <v>250</v>
      </c>
      <c r="G149" s="36" t="s">
        <v>11</v>
      </c>
      <c r="H149" s="69" t="s">
        <v>124</v>
      </c>
      <c r="I149" s="5"/>
      <c r="J149" s="5"/>
      <c r="K149" s="5"/>
      <c r="L149" s="14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6">
        <f>H114</f>
        <v>22291.829999999998</v>
      </c>
    </row>
    <row r="150" spans="1:27" ht="15.45" x14ac:dyDescent="0.4">
      <c r="A150" s="34"/>
      <c r="B150" s="29" t="s">
        <v>125</v>
      </c>
      <c r="C150" s="22"/>
      <c r="D150" s="22"/>
      <c r="E150" s="22"/>
      <c r="F150" s="42">
        <f ca="1">AA175</f>
        <v>22.427832309186343</v>
      </c>
      <c r="G150" s="36" t="s">
        <v>221</v>
      </c>
      <c r="H150" s="69" t="s">
        <v>126</v>
      </c>
      <c r="J150" s="5"/>
      <c r="K150" s="5"/>
      <c r="L150" s="14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>
        <f ca="1">F124/H7</f>
        <v>-10.010465973661431</v>
      </c>
    </row>
    <row r="151" spans="1:27" ht="15.45" x14ac:dyDescent="0.4">
      <c r="A151" s="63"/>
      <c r="B151" s="29" t="s">
        <v>127</v>
      </c>
      <c r="C151" s="31"/>
      <c r="D151" s="22"/>
      <c r="E151" s="22"/>
      <c r="F151" s="66">
        <f ca="1">AA179</f>
        <v>0.66521464683364462</v>
      </c>
      <c r="G151" s="22"/>
      <c r="H151" s="69" t="s">
        <v>128</v>
      </c>
      <c r="J151" s="5"/>
      <c r="K151" s="5"/>
      <c r="L151" s="14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6">
        <f ca="1">F121-F122</f>
        <v>-22404.560402005834</v>
      </c>
    </row>
    <row r="152" spans="1:27" ht="15.45" x14ac:dyDescent="0.4">
      <c r="A152" s="181"/>
      <c r="B152" s="182"/>
      <c r="C152" s="182"/>
      <c r="D152" s="182"/>
      <c r="E152" s="182"/>
      <c r="F152" s="182"/>
      <c r="G152" s="182"/>
      <c r="H152" s="183"/>
      <c r="J152" s="14"/>
      <c r="K152" s="5"/>
      <c r="L152" s="14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>
        <f ca="1">F119/(D10*I20)*100</f>
        <v>267.45999671313382</v>
      </c>
    </row>
    <row r="153" spans="1:27" ht="15.45" x14ac:dyDescent="0.4">
      <c r="A153" s="184"/>
      <c r="B153" s="185"/>
      <c r="C153" s="185"/>
      <c r="D153" s="186" t="s">
        <v>227</v>
      </c>
      <c r="E153" s="185"/>
      <c r="F153" s="185"/>
      <c r="G153" s="185"/>
      <c r="H153" s="187"/>
      <c r="J153" s="14"/>
      <c r="K153" s="5"/>
      <c r="L153" s="14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>
        <f>F122/(D10*I20)*100</f>
        <v>9.324187871832855</v>
      </c>
    </row>
    <row r="154" spans="1:27" ht="15.45" x14ac:dyDescent="0.4">
      <c r="A154" s="188"/>
      <c r="B154" s="185"/>
      <c r="C154" s="185"/>
      <c r="D154" s="185"/>
      <c r="E154" s="185"/>
      <c r="F154" s="185"/>
      <c r="G154" s="185"/>
      <c r="H154" s="187"/>
      <c r="J154" s="14"/>
      <c r="K154" s="14"/>
      <c r="L154" s="14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9">
        <f ca="1">G127+G128</f>
        <v>276.78418458496668</v>
      </c>
    </row>
    <row r="155" spans="1:27" ht="15.45" x14ac:dyDescent="0.4">
      <c r="A155" s="186"/>
      <c r="B155" s="185"/>
      <c r="C155" s="185"/>
      <c r="D155" s="186" t="s">
        <v>228</v>
      </c>
      <c r="E155" s="189"/>
      <c r="F155" s="189"/>
      <c r="G155" s="189"/>
      <c r="H155" s="187"/>
      <c r="J155" s="5"/>
      <c r="K155" s="14"/>
      <c r="L155" s="14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>
        <f ca="1">IF(E124&gt;0,1-I135,I135)</f>
        <v>0.42447025572245478</v>
      </c>
    </row>
    <row r="156" spans="1:27" ht="15.45" x14ac:dyDescent="0.4">
      <c r="A156" s="190"/>
      <c r="B156" s="185"/>
      <c r="C156" s="185"/>
      <c r="D156" s="186" t="s">
        <v>229</v>
      </c>
      <c r="E156" s="189"/>
      <c r="F156" s="189"/>
      <c r="G156" s="189"/>
      <c r="H156" s="187"/>
      <c r="J156" s="5"/>
      <c r="K156" s="14"/>
      <c r="L156" s="14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>
        <f ca="1">IF(E124-D135&gt;0,1-J135,J135)</f>
        <v>0.42447025572245478</v>
      </c>
    </row>
    <row r="157" spans="1:27" ht="15.45" x14ac:dyDescent="0.4">
      <c r="A157" s="188"/>
      <c r="B157" s="185"/>
      <c r="C157" s="185"/>
      <c r="D157" s="191" t="s">
        <v>230</v>
      </c>
      <c r="E157" s="189"/>
      <c r="F157" s="189"/>
      <c r="G157" s="189"/>
      <c r="H157" s="187"/>
      <c r="J157" s="5"/>
      <c r="K157" s="5"/>
      <c r="L157" s="14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>
        <f>I129/F118</f>
        <v>0.18398897695092062</v>
      </c>
    </row>
    <row r="158" spans="1:27" ht="15.45" x14ac:dyDescent="0.4">
      <c r="A158" s="188"/>
      <c r="B158" s="185"/>
      <c r="C158" s="185"/>
      <c r="D158" s="192" t="s">
        <v>231</v>
      </c>
      <c r="E158" s="189"/>
      <c r="F158" s="189"/>
      <c r="G158" s="189"/>
      <c r="H158" s="187"/>
      <c r="I158" s="5"/>
      <c r="J158" s="5"/>
      <c r="K158" s="5"/>
      <c r="L158" s="14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>
        <f ca="1">E124+0.97*I130</f>
        <v>40.969363142111177</v>
      </c>
    </row>
    <row r="159" spans="1:27" ht="15.45" x14ac:dyDescent="0.4">
      <c r="A159" s="193"/>
      <c r="B159" s="194"/>
      <c r="C159" s="194"/>
      <c r="D159" s="195"/>
      <c r="E159" s="196"/>
      <c r="F159" s="196"/>
      <c r="G159" s="196"/>
      <c r="H159" s="197"/>
      <c r="I159" s="5"/>
      <c r="J159" s="5"/>
      <c r="K159" s="5"/>
      <c r="L159" s="14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>
        <f>(H18-D18)/200</f>
        <v>-0.38</v>
      </c>
    </row>
    <row r="160" spans="1:27" ht="15.45" x14ac:dyDescent="0.4">
      <c r="A160" s="70"/>
      <c r="B160" s="70"/>
      <c r="C160" s="70"/>
      <c r="D160" s="70"/>
      <c r="E160" s="75"/>
      <c r="F160" s="75"/>
      <c r="G160" s="71"/>
      <c r="H160" s="74"/>
      <c r="I160" s="5"/>
      <c r="J160" s="5"/>
      <c r="K160" s="5"/>
      <c r="L160" s="14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>
        <f ca="1">E124+0.43*I130</f>
        <v>12.588839716835706</v>
      </c>
    </row>
    <row r="161" spans="1:27" ht="15.45" x14ac:dyDescent="0.4">
      <c r="A161" s="70" t="s">
        <v>239</v>
      </c>
      <c r="B161" s="74"/>
      <c r="C161" s="70"/>
      <c r="D161" s="74"/>
      <c r="E161" s="75"/>
      <c r="F161" s="75"/>
      <c r="G161" s="71"/>
      <c r="H161" s="71"/>
      <c r="I161" s="5"/>
      <c r="J161" s="5"/>
      <c r="K161" s="5"/>
      <c r="L161" s="14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>
        <f>SQRT((I20/I16*(H19-D19)/200)^2+(I20/F20*(D20-H20)/2)^2)</f>
        <v>234.11164702551318</v>
      </c>
    </row>
    <row r="162" spans="1:27" ht="15.45" x14ac:dyDescent="0.4">
      <c r="A162" s="70"/>
      <c r="B162" s="70"/>
      <c r="C162" s="70"/>
      <c r="D162" s="70"/>
      <c r="E162" s="70"/>
      <c r="F162" s="70"/>
      <c r="G162" s="70"/>
      <c r="H162" s="70"/>
      <c r="I162" s="5"/>
      <c r="J162" s="5"/>
      <c r="K162" s="5"/>
      <c r="L162" s="14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6">
        <f ca="1">E124</f>
        <v>-10.010465973661431</v>
      </c>
    </row>
    <row r="163" spans="1:27" ht="15.45" x14ac:dyDescent="0.4">
      <c r="A163" s="70"/>
      <c r="B163" s="70"/>
      <c r="C163" s="70"/>
      <c r="D163" s="70"/>
      <c r="E163" s="75"/>
      <c r="F163" s="75"/>
      <c r="G163" s="71"/>
      <c r="H163" s="71"/>
      <c r="I163" s="5"/>
      <c r="J163" s="5"/>
      <c r="K163" s="5"/>
      <c r="L163" s="14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>
        <f>(F18/100*D10*I126)^2+(I20*D10*I125)^2+(D10*I126*I125)^2</f>
        <v>12989676070.720438</v>
      </c>
    </row>
    <row r="164" spans="1:27" ht="15.45" x14ac:dyDescent="0.4">
      <c r="A164" s="70"/>
      <c r="B164" s="70"/>
      <c r="C164" s="70"/>
      <c r="D164" s="70"/>
      <c r="E164" s="75"/>
      <c r="F164" s="75"/>
      <c r="G164" s="71"/>
      <c r="H164" s="71"/>
      <c r="I164" s="5"/>
      <c r="J164" s="5"/>
      <c r="K164" s="5"/>
      <c r="L164" s="14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>
        <f ca="1">E124-0.43*I130</f>
        <v>-32.609771664158565</v>
      </c>
    </row>
    <row r="165" spans="1:27" ht="15.45" x14ac:dyDescent="0.4">
      <c r="A165" s="74"/>
      <c r="B165" s="74"/>
      <c r="C165" s="70"/>
      <c r="D165" s="70"/>
      <c r="E165" s="74"/>
      <c r="F165" s="70"/>
      <c r="G165" s="76"/>
      <c r="H165" s="73"/>
      <c r="I165" s="5"/>
      <c r="J165" s="5"/>
      <c r="K165" s="5"/>
      <c r="L165" s="14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>
        <f>(+D9*H7*(H17-D17)/200)^2</f>
        <v>846546797.7277894</v>
      </c>
    </row>
    <row r="166" spans="1:27" ht="15.45" x14ac:dyDescent="0.4">
      <c r="A166" s="70"/>
      <c r="B166" s="70"/>
      <c r="C166" s="70"/>
      <c r="D166" s="70"/>
      <c r="E166" s="75"/>
      <c r="F166" s="75"/>
      <c r="G166" s="71"/>
      <c r="H166" s="71"/>
      <c r="I166" s="5"/>
      <c r="J166" s="5"/>
      <c r="K166" s="5"/>
      <c r="L166" s="14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>
        <f ca="1">E124-0.97*I130</f>
        <v>-60.990295089434042</v>
      </c>
    </row>
    <row r="167" spans="1:27" ht="15.45" x14ac:dyDescent="0.4">
      <c r="A167" s="70"/>
      <c r="B167" s="74"/>
      <c r="C167" s="70"/>
      <c r="D167" s="70"/>
      <c r="E167" s="70"/>
      <c r="F167" s="75"/>
      <c r="G167" s="71"/>
      <c r="H167" s="71"/>
      <c r="I167" s="5"/>
      <c r="J167" s="5"/>
      <c r="K167" s="5"/>
      <c r="L167" s="14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>
        <f>SQRT(I127+I128)</f>
        <v>117627.474972679</v>
      </c>
    </row>
    <row r="168" spans="1:27" ht="15.45" x14ac:dyDescent="0.4">
      <c r="A168" s="70"/>
      <c r="B168" s="71"/>
      <c r="C168" s="70"/>
      <c r="D168" s="70"/>
      <c r="E168" s="70"/>
      <c r="F168" s="75"/>
      <c r="G168" s="71"/>
      <c r="H168" s="71"/>
      <c r="I168" s="5"/>
      <c r="J168" s="5"/>
      <c r="K168" s="5"/>
      <c r="L168" s="14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>
        <f>I129/H7</f>
        <v>52.556524861621249</v>
      </c>
    </row>
    <row r="169" spans="1:27" ht="15.45" x14ac:dyDescent="0.4">
      <c r="A169" s="70"/>
      <c r="B169" s="71"/>
      <c r="C169" s="70"/>
      <c r="D169" s="70"/>
      <c r="E169" s="70"/>
      <c r="F169" s="74"/>
      <c r="G169" s="74"/>
      <c r="H169" s="76"/>
      <c r="I169" s="5"/>
      <c r="J169" s="5"/>
      <c r="K169" s="5"/>
      <c r="L169" s="14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>
        <f ca="1">ABS(E124/I130)</f>
        <v>0.1904704696518367</v>
      </c>
    </row>
    <row r="170" spans="1:27" ht="15.45" x14ac:dyDescent="0.4">
      <c r="A170" s="70"/>
      <c r="B170" s="74"/>
      <c r="C170" s="74"/>
      <c r="D170" s="71"/>
      <c r="E170" s="70"/>
      <c r="F170" s="74"/>
      <c r="G170" s="77"/>
      <c r="H170" s="77"/>
      <c r="I170" s="14"/>
      <c r="J170" s="14"/>
      <c r="K170" s="5"/>
      <c r="L170" s="14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>
        <f ca="1">ABS((E124-D135)/I130)</f>
        <v>0.1904704696518367</v>
      </c>
    </row>
    <row r="171" spans="1:27" ht="15.45" x14ac:dyDescent="0.4">
      <c r="A171" s="70"/>
      <c r="B171" s="74"/>
      <c r="C171" s="70"/>
      <c r="D171" s="75"/>
      <c r="E171" s="70"/>
      <c r="F171" s="70"/>
      <c r="G171" s="73"/>
      <c r="H171" s="73"/>
      <c r="I171" s="14"/>
      <c r="J171" s="14"/>
      <c r="K171" s="5"/>
      <c r="L171" s="14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>
        <f ca="1">ABS(F150/I130)</f>
        <v>0.4267373531305147</v>
      </c>
    </row>
    <row r="172" spans="1:27" ht="15.45" x14ac:dyDescent="0.4">
      <c r="A172" s="70"/>
      <c r="B172" s="70"/>
      <c r="C172" s="70"/>
      <c r="D172" s="70"/>
      <c r="E172" s="70"/>
      <c r="F172" s="70"/>
      <c r="G172" s="70"/>
      <c r="H172" s="74"/>
      <c r="I172" s="14"/>
      <c r="J172" s="14"/>
      <c r="K172" s="14"/>
      <c r="L172" s="14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>
        <f ca="1">1/(1+(0.2316419*I132))</f>
        <v>0.95774345697795005</v>
      </c>
    </row>
    <row r="173" spans="1:27" ht="15.45" x14ac:dyDescent="0.4">
      <c r="A173" s="70"/>
      <c r="B173" s="74"/>
      <c r="C173" s="74"/>
      <c r="D173" s="75"/>
      <c r="E173" s="74"/>
      <c r="F173" s="70"/>
      <c r="G173" s="72"/>
      <c r="H173" s="70"/>
      <c r="I173" s="14"/>
      <c r="J173" s="14"/>
      <c r="K173" s="14"/>
      <c r="L173" s="14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>
        <f ca="1">1/(1+(0.2316419*J132))</f>
        <v>0.95774345697795005</v>
      </c>
    </row>
    <row r="174" spans="1:27" ht="15.45" x14ac:dyDescent="0.4">
      <c r="A174" s="74"/>
      <c r="B174" s="74"/>
      <c r="C174" s="70"/>
      <c r="D174" s="70"/>
      <c r="E174" s="70"/>
      <c r="F174" s="70"/>
      <c r="G174" s="70"/>
      <c r="H174" s="70"/>
      <c r="I174" s="14"/>
      <c r="J174" s="14"/>
      <c r="K174" s="14"/>
      <c r="L174" s="14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>
        <f ca="1">1/(1+(0.2316419*K132))</f>
        <v>0.91004210886336312</v>
      </c>
    </row>
    <row r="175" spans="1:27" ht="15.45" x14ac:dyDescent="0.4">
      <c r="A175" s="70"/>
      <c r="B175" s="70"/>
      <c r="C175" s="74"/>
      <c r="D175" s="75"/>
      <c r="E175" s="74"/>
      <c r="F175" s="74"/>
      <c r="G175" s="70"/>
      <c r="H175" s="73"/>
      <c r="I175" s="14"/>
      <c r="J175" s="14"/>
      <c r="K175" s="14"/>
      <c r="L175" s="14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>
        <f ca="1">E124+(F17-F149)/100*D9*(1+IF(E103&gt;0,0,D103/100*F21/365))</f>
        <v>22.427832309186343</v>
      </c>
    </row>
    <row r="176" spans="1:27" ht="15.45" x14ac:dyDescent="0.4">
      <c r="A176" s="70"/>
      <c r="B176" s="70"/>
      <c r="C176" s="70"/>
      <c r="D176" s="71"/>
      <c r="E176" s="70"/>
      <c r="F176" s="75"/>
      <c r="G176" s="71"/>
      <c r="H176" s="71"/>
      <c r="I176" s="14"/>
      <c r="J176" s="14"/>
      <c r="K176" s="14"/>
      <c r="L176" s="14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>
        <f ca="1">0.398942281*EXP(I132^2/-2)</f>
        <v>0.3917709067420303</v>
      </c>
    </row>
    <row r="177" spans="1:27" ht="15.45" x14ac:dyDescent="0.4">
      <c r="A177" s="70"/>
      <c r="B177" s="70"/>
      <c r="C177" s="74"/>
      <c r="D177" s="75"/>
      <c r="E177" s="70"/>
      <c r="F177" s="75"/>
      <c r="G177" s="71"/>
      <c r="H177" s="71"/>
      <c r="I177" s="14"/>
      <c r="J177" s="14"/>
      <c r="K177" s="14"/>
      <c r="L177" s="14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>
        <f ca="1">0.398942281*EXP(J132^2/-2)</f>
        <v>0.3917709067420303</v>
      </c>
    </row>
    <row r="178" spans="1:27" ht="15.45" x14ac:dyDescent="0.4">
      <c r="A178" s="70"/>
      <c r="B178" s="70"/>
      <c r="C178" s="70"/>
      <c r="D178" s="70"/>
      <c r="E178" s="70"/>
      <c r="F178" s="75"/>
      <c r="G178" s="71"/>
      <c r="H178" s="71"/>
      <c r="I178" s="14"/>
      <c r="J178" s="14"/>
      <c r="K178" s="14"/>
      <c r="L178" s="14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>
        <f ca="1">0.398942281*EXP(K132^2/-2)</f>
        <v>0.36422228815806029</v>
      </c>
    </row>
    <row r="179" spans="1:27" ht="15.45" x14ac:dyDescent="0.4">
      <c r="A179" s="70"/>
      <c r="B179" s="74"/>
      <c r="C179" s="74"/>
      <c r="D179" s="70"/>
      <c r="E179" s="74"/>
      <c r="F179" s="70"/>
      <c r="G179" s="70"/>
      <c r="H179" s="73"/>
      <c r="I179" s="14"/>
      <c r="J179" s="14"/>
      <c r="K179" s="14"/>
      <c r="L179" s="14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>
        <f ca="1">IF(F150&lt;0,K135,1-K135)</f>
        <v>0.66521464683364462</v>
      </c>
    </row>
    <row r="180" spans="1:27" ht="15.45" x14ac:dyDescent="0.4">
      <c r="A180" s="70"/>
      <c r="B180" s="75"/>
      <c r="C180" s="71"/>
      <c r="D180" s="70"/>
      <c r="E180" s="70"/>
      <c r="F180" s="70"/>
      <c r="G180" s="70"/>
      <c r="H180" s="70"/>
      <c r="I180" s="14"/>
      <c r="J180" s="14"/>
      <c r="K180" s="14"/>
      <c r="L180" s="14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>
        <f ca="1">I134*(0.31938153*I133-0.356563782*I133^2+1.781477937*I133^3-1.821255978*I133^4+1.330274429*I133^5)</f>
        <v>0.42447025572245478</v>
      </c>
    </row>
    <row r="181" spans="1:27" ht="15.45" x14ac:dyDescent="0.4">
      <c r="A181" s="70"/>
      <c r="B181" s="75"/>
      <c r="C181" s="71"/>
      <c r="D181" s="70"/>
      <c r="E181" s="74"/>
      <c r="F181" s="70"/>
      <c r="G181" s="70"/>
      <c r="H181" s="73"/>
      <c r="I181" s="14"/>
      <c r="J181" s="14"/>
      <c r="K181" s="14"/>
      <c r="L181" s="14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>
        <f ca="1">J134*(0.31938153*J133-0.356563782*J133^2+1.781477937*J133^3-1.821255978*J133^4+1.330274429*J133^5)</f>
        <v>0.42447025572245478</v>
      </c>
    </row>
    <row r="182" spans="1:27" ht="15.45" x14ac:dyDescent="0.4">
      <c r="A182" s="70"/>
      <c r="B182" s="70"/>
      <c r="C182" s="71"/>
      <c r="D182" s="70"/>
      <c r="E182" s="70"/>
      <c r="F182" s="75"/>
      <c r="G182" s="71"/>
      <c r="H182" s="71"/>
      <c r="I182" s="1"/>
      <c r="J182" s="1"/>
      <c r="K182" s="1"/>
      <c r="L182" s="1"/>
      <c r="AA182" s="15">
        <f ca="1">K134*(0.31938153*K133-0.356563782*K133^2+1.781477937*K133^3-1.821255978*K133^4+1.330274429*K133^5)</f>
        <v>0.33478535316635544</v>
      </c>
    </row>
    <row r="183" spans="1:27" ht="15.45" x14ac:dyDescent="0.4">
      <c r="A183" s="70"/>
      <c r="B183" s="70"/>
      <c r="C183" s="71"/>
      <c r="D183" s="70"/>
      <c r="E183" s="70"/>
      <c r="F183" s="75"/>
      <c r="G183" s="71"/>
      <c r="H183" s="71"/>
      <c r="I183" s="1"/>
      <c r="J183" s="1"/>
      <c r="K183" s="1"/>
      <c r="L183" s="1"/>
      <c r="AA183" s="15">
        <f>(F118-H86-H87-H92-H63)/(I20*H9)</f>
        <v>1.6580333951762523</v>
      </c>
    </row>
    <row r="184" spans="1:27" ht="15.45" x14ac:dyDescent="0.4">
      <c r="A184" s="70"/>
      <c r="B184" s="70"/>
      <c r="C184" s="70"/>
      <c r="D184" s="70"/>
      <c r="E184" s="70"/>
      <c r="F184" s="75"/>
      <c r="G184" s="71"/>
      <c r="H184" s="71"/>
      <c r="I184" s="1"/>
      <c r="J184" s="1"/>
      <c r="K184" s="1"/>
      <c r="L184" s="1"/>
      <c r="AA184" s="15"/>
    </row>
    <row r="185" spans="1:27" ht="15.45" x14ac:dyDescent="0.4">
      <c r="A185" s="70"/>
      <c r="B185" s="75"/>
      <c r="C185" s="70"/>
      <c r="D185" s="70"/>
      <c r="E185" s="71"/>
      <c r="F185" s="75"/>
      <c r="G185" s="71"/>
      <c r="H185" s="71"/>
      <c r="I185" s="1"/>
      <c r="J185" s="1"/>
      <c r="K185" s="1"/>
      <c r="L185" s="1"/>
      <c r="AA185" s="15"/>
    </row>
    <row r="186" spans="1:27" ht="15.45" x14ac:dyDescent="0.4">
      <c r="A186" s="70"/>
      <c r="B186" s="70"/>
      <c r="C186" s="70"/>
      <c r="D186" s="70"/>
      <c r="E186" s="70"/>
      <c r="F186" s="75"/>
      <c r="G186" s="71"/>
      <c r="H186" s="71"/>
      <c r="I186" s="1"/>
      <c r="J186" s="1"/>
      <c r="K186" s="1"/>
      <c r="L186" s="1"/>
      <c r="AA186" s="15"/>
    </row>
    <row r="187" spans="1:27" ht="15.45" x14ac:dyDescent="0.4">
      <c r="A187" s="70"/>
      <c r="B187" s="70"/>
      <c r="C187" s="70"/>
      <c r="D187" s="70"/>
      <c r="E187" s="71"/>
      <c r="F187" s="75"/>
      <c r="G187" s="71"/>
      <c r="H187" s="71"/>
      <c r="I187" s="1"/>
      <c r="J187" s="1"/>
      <c r="K187" s="1"/>
      <c r="L187" s="1"/>
      <c r="AA187" s="15"/>
    </row>
    <row r="188" spans="1:27" ht="15.45" x14ac:dyDescent="0.4">
      <c r="A188" s="70"/>
      <c r="B188" s="70"/>
      <c r="C188" s="70"/>
      <c r="D188" s="70"/>
      <c r="E188" s="71"/>
      <c r="F188" s="75"/>
      <c r="G188" s="71"/>
      <c r="H188" s="71"/>
      <c r="I188" s="1"/>
      <c r="J188" s="1"/>
      <c r="K188" s="1"/>
      <c r="L188" s="1"/>
      <c r="AA188" s="15"/>
    </row>
    <row r="189" spans="1:27" ht="15.45" x14ac:dyDescent="0.4">
      <c r="A189" s="70"/>
      <c r="B189" s="70"/>
      <c r="C189" s="70"/>
      <c r="D189" s="70"/>
      <c r="E189" s="71"/>
      <c r="F189" s="75"/>
      <c r="G189" s="71"/>
      <c r="H189" s="71"/>
      <c r="I189" s="1"/>
      <c r="J189" s="1"/>
      <c r="K189" s="1"/>
      <c r="L189" s="1"/>
      <c r="AA189" s="15"/>
    </row>
    <row r="190" spans="1:27" ht="15.45" x14ac:dyDescent="0.4">
      <c r="A190" s="70"/>
      <c r="B190" s="70"/>
      <c r="C190" s="70"/>
      <c r="D190" s="70"/>
      <c r="E190" s="71"/>
      <c r="F190" s="75"/>
      <c r="G190" s="71"/>
      <c r="H190" s="71"/>
      <c r="I190" s="1"/>
      <c r="J190" s="1"/>
      <c r="K190" s="1"/>
      <c r="L190" s="1"/>
      <c r="AA190" s="15"/>
    </row>
    <row r="191" spans="1:27" ht="15.45" x14ac:dyDescent="0.4">
      <c r="A191" s="70"/>
      <c r="B191" s="70"/>
      <c r="C191" s="70"/>
      <c r="D191" s="70"/>
      <c r="E191" s="71"/>
      <c r="F191" s="75"/>
      <c r="G191" s="71"/>
      <c r="H191" s="71"/>
      <c r="I191" s="1"/>
      <c r="J191" s="1"/>
      <c r="K191" s="1"/>
      <c r="L191" s="1"/>
      <c r="AA191" s="15"/>
    </row>
    <row r="192" spans="1:27" ht="15.45" x14ac:dyDescent="0.4">
      <c r="A192" s="70"/>
      <c r="B192" s="70"/>
      <c r="C192" s="70"/>
      <c r="D192" s="70"/>
      <c r="E192" s="71"/>
      <c r="F192" s="75"/>
      <c r="G192" s="71"/>
      <c r="H192" s="71"/>
      <c r="I192" s="1"/>
      <c r="J192" s="1"/>
      <c r="K192" s="1"/>
      <c r="L192" s="1"/>
      <c r="AA192" s="15"/>
    </row>
    <row r="193" spans="1:27" ht="15.45" x14ac:dyDescent="0.4">
      <c r="A193" s="70"/>
      <c r="B193" s="70"/>
      <c r="C193" s="70"/>
      <c r="D193" s="70"/>
      <c r="E193" s="71"/>
      <c r="F193" s="75"/>
      <c r="G193" s="71"/>
      <c r="H193" s="71"/>
      <c r="I193" s="1"/>
      <c r="J193" s="1"/>
      <c r="K193" s="1"/>
      <c r="L193" s="1"/>
      <c r="AA193" s="15"/>
    </row>
    <row r="194" spans="1:27" ht="15.45" x14ac:dyDescent="0.4">
      <c r="A194" s="70"/>
      <c r="B194" s="70"/>
      <c r="C194" s="70"/>
      <c r="D194" s="70"/>
      <c r="E194" s="71"/>
      <c r="F194" s="75"/>
      <c r="G194" s="71"/>
      <c r="H194" s="71"/>
      <c r="I194" s="1"/>
      <c r="J194" s="1"/>
      <c r="K194" s="1"/>
      <c r="L194" s="1"/>
    </row>
    <row r="195" spans="1:27" ht="15.45" x14ac:dyDescent="0.4">
      <c r="A195" s="70"/>
      <c r="B195" s="70"/>
      <c r="C195" s="70"/>
      <c r="D195" s="70"/>
      <c r="E195" s="71"/>
      <c r="F195" s="75"/>
      <c r="G195" s="71"/>
      <c r="H195" s="71"/>
      <c r="I195" s="1"/>
      <c r="J195" s="1"/>
      <c r="K195" s="1"/>
      <c r="L195" s="1"/>
    </row>
    <row r="196" spans="1:27" ht="15.45" x14ac:dyDescent="0.4">
      <c r="A196" s="70"/>
      <c r="B196" s="70"/>
      <c r="C196" s="70"/>
      <c r="D196" s="70"/>
      <c r="E196" s="70"/>
      <c r="F196" s="70"/>
      <c r="G196" s="70"/>
      <c r="H196" s="70"/>
      <c r="I196" s="1"/>
      <c r="J196" s="1"/>
      <c r="K196" s="1"/>
      <c r="L196" s="1"/>
    </row>
    <row r="197" spans="1:27" ht="15.45" x14ac:dyDescent="0.4">
      <c r="A197" s="70"/>
      <c r="B197" s="74"/>
      <c r="C197" s="74"/>
      <c r="D197" s="74"/>
      <c r="E197" s="74"/>
      <c r="F197" s="74"/>
      <c r="G197" s="71"/>
      <c r="H197" s="71"/>
      <c r="I197" s="1"/>
      <c r="J197" s="1"/>
      <c r="K197" s="1"/>
      <c r="L197" s="1"/>
    </row>
    <row r="198" spans="1:27" ht="15.45" x14ac:dyDescent="0.4">
      <c r="A198" s="70"/>
      <c r="B198" s="70"/>
      <c r="C198" s="70"/>
      <c r="D198" s="74"/>
      <c r="E198" s="70"/>
      <c r="F198" s="75"/>
      <c r="G198" s="70"/>
      <c r="H198" s="73"/>
      <c r="I198" s="1"/>
      <c r="J198" s="1"/>
      <c r="K198" s="1"/>
      <c r="L198" s="1"/>
    </row>
    <row r="199" spans="1:27" ht="15.45" x14ac:dyDescent="0.4">
      <c r="A199" s="70"/>
      <c r="B199" s="70"/>
      <c r="C199" s="70"/>
      <c r="D199" s="70"/>
      <c r="E199" s="70"/>
      <c r="F199" s="70"/>
      <c r="G199" s="70"/>
      <c r="H199" s="70"/>
      <c r="I199" s="1"/>
      <c r="J199" s="1"/>
      <c r="K199" s="1"/>
      <c r="L199" s="1"/>
    </row>
    <row r="200" spans="1:27" ht="15.45" x14ac:dyDescent="0.4">
      <c r="A200" s="70"/>
      <c r="B200" s="70"/>
      <c r="C200" s="70"/>
      <c r="D200" s="70"/>
      <c r="E200" s="72"/>
      <c r="F200" s="72"/>
      <c r="G200" s="70"/>
      <c r="H200" s="70"/>
      <c r="I200" s="1"/>
      <c r="J200" s="1"/>
      <c r="K200" s="1"/>
      <c r="L200" s="1"/>
    </row>
    <row r="201" spans="1:27" ht="15.45" x14ac:dyDescent="0.4">
      <c r="A201" s="70"/>
      <c r="B201" s="70"/>
      <c r="C201" s="70"/>
      <c r="D201" s="70"/>
      <c r="E201" s="72"/>
      <c r="F201" s="72"/>
      <c r="G201" s="70"/>
      <c r="H201" s="70"/>
      <c r="I201" s="1"/>
      <c r="J201" s="1"/>
      <c r="K201" s="1"/>
      <c r="L201" s="1"/>
    </row>
    <row r="202" spans="1:27" ht="15.45" x14ac:dyDescent="0.4">
      <c r="A202" s="70"/>
      <c r="B202" s="70"/>
      <c r="C202" s="70"/>
      <c r="D202" s="70"/>
      <c r="E202" s="72"/>
      <c r="F202" s="72"/>
      <c r="G202" s="70"/>
      <c r="H202" s="70"/>
      <c r="I202" s="6"/>
      <c r="J202" s="6"/>
      <c r="K202" s="6"/>
    </row>
    <row r="203" spans="1:27" ht="15.45" x14ac:dyDescent="0.4">
      <c r="A203" s="70"/>
      <c r="B203" s="70"/>
      <c r="C203" s="70"/>
      <c r="D203" s="70"/>
      <c r="E203" s="70"/>
      <c r="F203" s="70"/>
      <c r="G203" s="70"/>
      <c r="H203" s="70"/>
      <c r="I203" s="6"/>
      <c r="J203" s="6"/>
      <c r="K203" s="6"/>
    </row>
    <row r="204" spans="1:27" ht="15.45" x14ac:dyDescent="0.4">
      <c r="A204" s="70"/>
      <c r="B204" s="70"/>
      <c r="C204" s="70"/>
      <c r="D204" s="70"/>
      <c r="E204" s="70"/>
      <c r="F204" s="70"/>
      <c r="G204" s="70"/>
      <c r="H204" s="70"/>
      <c r="I204" s="6"/>
      <c r="J204" s="6"/>
      <c r="K204" s="6"/>
    </row>
    <row r="205" spans="1:27" ht="15.45" x14ac:dyDescent="0.4">
      <c r="A205" s="70"/>
      <c r="B205" s="70"/>
      <c r="C205" s="70"/>
      <c r="D205" s="70"/>
      <c r="E205" s="72"/>
      <c r="F205" s="72"/>
      <c r="G205" s="70"/>
      <c r="H205" s="70"/>
      <c r="I205" s="6"/>
      <c r="J205" s="6"/>
      <c r="K205" s="6"/>
    </row>
    <row r="206" spans="1:27" ht="15.45" x14ac:dyDescent="0.4">
      <c r="A206" s="70"/>
      <c r="B206" s="70"/>
      <c r="C206" s="70"/>
      <c r="D206" s="70"/>
      <c r="E206" s="72"/>
      <c r="F206" s="72"/>
      <c r="G206" s="70"/>
      <c r="H206" s="70"/>
      <c r="I206" s="6"/>
      <c r="J206" s="6"/>
      <c r="K206" s="6"/>
    </row>
    <row r="207" spans="1:27" ht="15.45" x14ac:dyDescent="0.4">
      <c r="A207" s="70"/>
      <c r="B207" s="70"/>
      <c r="C207" s="70"/>
      <c r="D207" s="70"/>
      <c r="E207" s="72"/>
      <c r="F207" s="72"/>
      <c r="G207" s="70"/>
      <c r="H207" s="70"/>
      <c r="I207" s="6"/>
      <c r="J207" s="6"/>
      <c r="K207" s="6"/>
    </row>
    <row r="208" spans="1:27" ht="15.45" x14ac:dyDescent="0.4">
      <c r="A208" s="70"/>
      <c r="B208" s="70"/>
      <c r="C208" s="70"/>
      <c r="D208" s="70"/>
      <c r="E208" s="72"/>
      <c r="F208" s="72"/>
      <c r="G208" s="70"/>
      <c r="H208" s="70"/>
      <c r="I208" s="6"/>
      <c r="J208" s="6"/>
      <c r="K208" s="6"/>
    </row>
    <row r="209" spans="1:11" ht="15.45" x14ac:dyDescent="0.4">
      <c r="A209" s="70"/>
      <c r="B209" s="70"/>
      <c r="C209" s="70"/>
      <c r="D209" s="70"/>
      <c r="E209" s="72"/>
      <c r="F209" s="72"/>
      <c r="G209" s="71"/>
      <c r="H209" s="71"/>
      <c r="I209" s="6"/>
      <c r="J209" s="6"/>
      <c r="K209" s="6"/>
    </row>
    <row r="210" spans="1:11" ht="15.45" x14ac:dyDescent="0.4">
      <c r="A210" s="70"/>
      <c r="B210" s="70"/>
      <c r="C210" s="70"/>
      <c r="D210" s="70"/>
      <c r="E210" s="72"/>
      <c r="F210" s="72"/>
      <c r="G210" s="71"/>
      <c r="H210" s="71"/>
      <c r="I210" s="6"/>
      <c r="J210" s="6"/>
      <c r="K210" s="6"/>
    </row>
    <row r="211" spans="1:11" ht="15.45" x14ac:dyDescent="0.4">
      <c r="A211" s="70"/>
      <c r="B211" s="70"/>
      <c r="C211" s="70"/>
      <c r="D211" s="70"/>
      <c r="E211" s="71"/>
      <c r="F211" s="70"/>
      <c r="G211" s="71"/>
      <c r="H211" s="71"/>
      <c r="I211" s="10"/>
      <c r="J211" s="6"/>
      <c r="K211" s="6"/>
    </row>
    <row r="212" spans="1:11" ht="15.45" x14ac:dyDescent="0.4">
      <c r="A212" s="70"/>
      <c r="B212" s="70"/>
      <c r="C212" s="70"/>
      <c r="D212" s="70"/>
      <c r="E212" s="70"/>
      <c r="F212" s="70"/>
      <c r="G212" s="71"/>
      <c r="H212" s="71"/>
      <c r="I212" s="6"/>
      <c r="J212" s="6"/>
      <c r="K212" s="6"/>
    </row>
    <row r="213" spans="1:11" ht="15.45" x14ac:dyDescent="0.4">
      <c r="A213" s="70"/>
      <c r="B213" s="70"/>
      <c r="C213" s="70"/>
      <c r="D213" s="70"/>
      <c r="E213" s="70"/>
      <c r="F213" s="70"/>
      <c r="G213" s="70"/>
      <c r="H213" s="70"/>
      <c r="I213" s="6"/>
      <c r="J213" s="6"/>
      <c r="K213" s="6"/>
    </row>
    <row r="214" spans="1:11" ht="15.45" x14ac:dyDescent="0.4">
      <c r="A214" s="70"/>
      <c r="B214" s="70"/>
      <c r="C214" s="70"/>
      <c r="D214" s="70"/>
      <c r="E214" s="71"/>
      <c r="F214" s="70"/>
      <c r="G214" s="71"/>
      <c r="H214" s="71"/>
      <c r="I214" s="6"/>
      <c r="J214" s="6"/>
      <c r="K214" s="6"/>
    </row>
    <row r="215" spans="1:11" ht="15.45" x14ac:dyDescent="0.4">
      <c r="A215" s="70"/>
      <c r="B215" s="70"/>
      <c r="C215" s="70"/>
      <c r="D215" s="70"/>
      <c r="E215" s="71"/>
      <c r="F215" s="70"/>
      <c r="G215" s="71"/>
      <c r="H215" s="71"/>
      <c r="I215" s="6"/>
      <c r="J215" s="6"/>
      <c r="K215" s="6"/>
    </row>
    <row r="216" spans="1:11" ht="15.45" x14ac:dyDescent="0.4">
      <c r="A216" s="70"/>
      <c r="B216" s="70"/>
      <c r="C216" s="70"/>
      <c r="D216" s="70"/>
      <c r="E216" s="71"/>
      <c r="F216" s="70"/>
      <c r="G216" s="71"/>
      <c r="H216" s="71"/>
      <c r="I216" s="6"/>
      <c r="J216" s="6"/>
      <c r="K216" s="8"/>
    </row>
    <row r="217" spans="1:11" ht="15.45" x14ac:dyDescent="0.4">
      <c r="A217" s="70"/>
      <c r="B217" s="70"/>
      <c r="C217" s="70"/>
      <c r="D217" s="70"/>
      <c r="E217" s="71"/>
      <c r="F217" s="70"/>
      <c r="G217" s="71"/>
      <c r="H217" s="71"/>
      <c r="I217" s="6"/>
      <c r="J217" s="6"/>
      <c r="K217" s="8"/>
    </row>
    <row r="218" spans="1:11" ht="15.9" x14ac:dyDescent="0.45">
      <c r="A218" s="78"/>
      <c r="B218" s="78"/>
      <c r="C218" s="78"/>
      <c r="D218" s="78"/>
      <c r="E218" s="79"/>
      <c r="F218" s="78"/>
      <c r="G218" s="79"/>
      <c r="H218" s="79"/>
      <c r="I218" s="8"/>
      <c r="J218" s="6"/>
      <c r="K218" s="8"/>
    </row>
    <row r="219" spans="1:11" ht="15.9" x14ac:dyDescent="0.45">
      <c r="A219" s="78"/>
      <c r="B219" s="78"/>
      <c r="C219" s="80"/>
      <c r="D219" s="78"/>
      <c r="E219" s="78"/>
      <c r="F219" s="78"/>
      <c r="G219" s="80"/>
      <c r="H219" s="78"/>
      <c r="I219" s="6"/>
      <c r="J219" s="6"/>
      <c r="K219" s="8"/>
    </row>
    <row r="220" spans="1:11" ht="15.9" x14ac:dyDescent="0.45">
      <c r="A220" s="78"/>
      <c r="B220" s="78"/>
      <c r="C220" s="78"/>
      <c r="D220" s="78"/>
      <c r="E220" s="78"/>
      <c r="F220" s="80"/>
      <c r="G220" s="79"/>
      <c r="H220" s="79"/>
      <c r="I220" s="6"/>
      <c r="J220" s="6"/>
      <c r="K220" s="8"/>
    </row>
    <row r="221" spans="1:11" ht="15.9" x14ac:dyDescent="0.45">
      <c r="A221" s="78"/>
      <c r="B221" s="78"/>
      <c r="C221" s="78"/>
      <c r="D221" s="78"/>
      <c r="E221" s="79"/>
      <c r="F221" s="78"/>
      <c r="G221" s="79"/>
      <c r="H221" s="79"/>
      <c r="I221" s="6"/>
      <c r="J221" s="6"/>
      <c r="K221" s="6"/>
    </row>
    <row r="222" spans="1:11" ht="15.9" x14ac:dyDescent="0.45">
      <c r="A222" s="78"/>
      <c r="B222" s="78"/>
      <c r="C222" s="78"/>
      <c r="D222" s="78"/>
      <c r="E222" s="79"/>
      <c r="F222" s="80"/>
      <c r="G222" s="79"/>
      <c r="H222" s="79"/>
      <c r="I222" s="6"/>
      <c r="J222" s="6"/>
      <c r="K222" s="8"/>
    </row>
    <row r="223" spans="1:11" ht="15.9" x14ac:dyDescent="0.45">
      <c r="A223" s="78"/>
      <c r="B223" s="78"/>
      <c r="C223" s="80"/>
      <c r="D223" s="78"/>
      <c r="E223" s="79"/>
      <c r="F223" s="80"/>
      <c r="G223" s="79"/>
      <c r="H223" s="79"/>
      <c r="I223" s="6"/>
      <c r="J223" s="6"/>
      <c r="K223" s="8"/>
    </row>
    <row r="224" spans="1:11" ht="15.9" x14ac:dyDescent="0.45">
      <c r="A224" s="78"/>
      <c r="B224" s="78"/>
      <c r="C224" s="78"/>
      <c r="D224" s="78"/>
      <c r="E224" s="79"/>
      <c r="F224" s="80"/>
      <c r="G224" s="79"/>
      <c r="H224" s="79"/>
      <c r="I224" s="6"/>
      <c r="J224" s="6"/>
      <c r="K224" s="8"/>
    </row>
    <row r="225" spans="1:11" ht="15.9" x14ac:dyDescent="0.45">
      <c r="A225" s="78"/>
      <c r="B225" s="78"/>
      <c r="C225" s="80"/>
      <c r="D225" s="78"/>
      <c r="E225" s="78"/>
      <c r="F225" s="80"/>
      <c r="G225" s="79"/>
      <c r="H225" s="79"/>
      <c r="I225" s="6"/>
      <c r="J225" s="6"/>
      <c r="K225" s="8"/>
    </row>
    <row r="226" spans="1:11" ht="15.9" x14ac:dyDescent="0.45">
      <c r="A226" s="78"/>
      <c r="B226" s="78"/>
      <c r="C226" s="81"/>
      <c r="D226" s="78"/>
      <c r="E226" s="78"/>
      <c r="F226" s="80"/>
      <c r="G226" s="78"/>
      <c r="H226" s="78"/>
      <c r="I226" s="6"/>
      <c r="J226" s="6"/>
      <c r="K226" s="8"/>
    </row>
    <row r="227" spans="1:11" ht="15.9" x14ac:dyDescent="0.45">
      <c r="A227" s="78"/>
      <c r="B227" s="78"/>
      <c r="C227" s="78"/>
      <c r="D227" s="78"/>
      <c r="E227" s="79"/>
      <c r="F227" s="78"/>
      <c r="G227" s="79"/>
      <c r="H227" s="79"/>
      <c r="I227" s="6"/>
      <c r="J227" s="6"/>
      <c r="K227" s="8"/>
    </row>
    <row r="228" spans="1:11" ht="15.9" x14ac:dyDescent="0.45">
      <c r="A228" s="78"/>
      <c r="B228" s="78"/>
      <c r="C228" s="78"/>
      <c r="D228" s="78"/>
      <c r="E228" s="79"/>
      <c r="F228" s="80"/>
      <c r="G228" s="79"/>
      <c r="H228" s="79"/>
      <c r="I228" s="6"/>
      <c r="J228" s="6"/>
      <c r="K228" s="8"/>
    </row>
    <row r="229" spans="1:11" ht="15.9" x14ac:dyDescent="0.45">
      <c r="A229" s="78"/>
      <c r="B229" s="78"/>
      <c r="C229" s="78"/>
      <c r="D229" s="78"/>
      <c r="E229" s="79"/>
      <c r="F229" s="78"/>
      <c r="G229" s="79"/>
      <c r="H229" s="79"/>
      <c r="I229" s="10"/>
      <c r="J229" s="6"/>
      <c r="K229" s="8"/>
    </row>
    <row r="230" spans="1:11" ht="15.9" x14ac:dyDescent="0.45">
      <c r="A230" s="78"/>
      <c r="B230" s="78"/>
      <c r="C230" s="78"/>
      <c r="D230" s="78"/>
      <c r="E230" s="79"/>
      <c r="F230" s="78"/>
      <c r="G230" s="79"/>
      <c r="H230" s="79"/>
      <c r="I230" s="6"/>
      <c r="J230" s="6"/>
      <c r="K230" s="8"/>
    </row>
    <row r="231" spans="1:11" ht="15.9" x14ac:dyDescent="0.45">
      <c r="A231" s="78"/>
      <c r="B231" s="78"/>
      <c r="C231" s="80"/>
      <c r="D231" s="80"/>
      <c r="E231" s="80"/>
      <c r="F231" s="80"/>
      <c r="G231" s="79"/>
      <c r="H231" s="79"/>
      <c r="I231" s="6"/>
      <c r="J231" s="6"/>
      <c r="K231" s="6"/>
    </row>
    <row r="232" spans="1:11" ht="15.9" x14ac:dyDescent="0.45">
      <c r="A232" s="78"/>
      <c r="B232" s="78"/>
      <c r="C232" s="78"/>
      <c r="D232" s="78"/>
      <c r="E232" s="78"/>
      <c r="F232" s="78"/>
      <c r="G232" s="78"/>
      <c r="H232" s="78"/>
      <c r="I232" s="6"/>
      <c r="J232" s="6"/>
      <c r="K232" s="6"/>
    </row>
    <row r="233" spans="1:11" ht="15.9" x14ac:dyDescent="0.45">
      <c r="A233" s="78"/>
      <c r="B233" s="78"/>
      <c r="C233" s="82"/>
      <c r="D233" s="81"/>
      <c r="E233" s="79"/>
      <c r="F233" s="79"/>
      <c r="G233" s="81"/>
      <c r="H233" s="80"/>
      <c r="I233" s="6"/>
      <c r="J233" s="6"/>
      <c r="K233" s="6"/>
    </row>
    <row r="234" spans="1:11" ht="15.9" x14ac:dyDescent="0.45">
      <c r="A234" s="78"/>
      <c r="B234" s="78"/>
      <c r="C234" s="78"/>
      <c r="D234" s="78"/>
      <c r="E234" s="79"/>
      <c r="F234" s="79"/>
      <c r="G234" s="81"/>
      <c r="H234" s="78"/>
      <c r="I234" s="6"/>
      <c r="J234" s="6"/>
      <c r="K234" s="6"/>
    </row>
    <row r="235" spans="1:11" ht="15.9" x14ac:dyDescent="0.45">
      <c r="A235" s="78"/>
      <c r="B235" s="78"/>
      <c r="C235" s="78"/>
      <c r="D235" s="78"/>
      <c r="E235" s="78"/>
      <c r="F235" s="78"/>
      <c r="G235" s="78"/>
      <c r="H235" s="78"/>
      <c r="I235" s="6"/>
      <c r="J235" s="6"/>
      <c r="K235" s="6"/>
    </row>
    <row r="236" spans="1:11" ht="15.9" x14ac:dyDescent="0.45">
      <c r="A236" s="78"/>
      <c r="B236" s="78"/>
      <c r="C236" s="83"/>
      <c r="D236" s="81"/>
      <c r="E236" s="79"/>
      <c r="F236" s="79"/>
      <c r="G236" s="81"/>
      <c r="H236" s="81"/>
      <c r="I236" s="6"/>
      <c r="J236" s="6"/>
      <c r="K236" s="6"/>
    </row>
    <row r="237" spans="1:11" ht="15.9" x14ac:dyDescent="0.45">
      <c r="A237" s="78"/>
      <c r="B237" s="78"/>
      <c r="C237" s="83"/>
      <c r="D237" s="81"/>
      <c r="E237" s="78"/>
      <c r="F237" s="78"/>
      <c r="G237" s="78"/>
      <c r="H237" s="81"/>
      <c r="I237" s="10"/>
      <c r="J237" s="6"/>
      <c r="K237" s="6"/>
    </row>
    <row r="238" spans="1:11" ht="15.9" x14ac:dyDescent="0.45">
      <c r="A238" s="78"/>
      <c r="B238" s="78"/>
      <c r="C238" s="83"/>
      <c r="D238" s="81"/>
      <c r="E238" s="79"/>
      <c r="F238" s="79"/>
      <c r="G238" s="81"/>
      <c r="H238" s="81"/>
      <c r="I238" s="11"/>
      <c r="J238" s="6"/>
      <c r="K238" s="11"/>
    </row>
    <row r="239" spans="1:11" ht="15.9" x14ac:dyDescent="0.45">
      <c r="A239" s="78"/>
      <c r="B239" s="80"/>
      <c r="C239" s="80"/>
      <c r="D239" s="80"/>
      <c r="E239" s="79"/>
      <c r="F239" s="79"/>
      <c r="G239" s="81"/>
      <c r="H239" s="80"/>
      <c r="I239" s="11"/>
      <c r="J239" s="11"/>
      <c r="K239" s="11"/>
    </row>
    <row r="240" spans="1:11" ht="15.9" x14ac:dyDescent="0.45">
      <c r="A240" s="78"/>
      <c r="B240" s="80"/>
      <c r="C240" s="80"/>
      <c r="D240" s="80"/>
      <c r="E240" s="79"/>
      <c r="F240" s="79"/>
      <c r="G240" s="81"/>
      <c r="H240" s="80"/>
      <c r="I240" s="11"/>
      <c r="J240" s="11"/>
      <c r="K240" s="11"/>
    </row>
    <row r="241" spans="1:11" ht="15.9" x14ac:dyDescent="0.45">
      <c r="A241" s="78"/>
      <c r="B241" s="78"/>
      <c r="C241" s="78"/>
      <c r="D241" s="78"/>
      <c r="E241" s="79"/>
      <c r="F241" s="79"/>
      <c r="G241" s="81"/>
      <c r="H241" s="78"/>
      <c r="I241" s="10"/>
      <c r="J241" s="11"/>
      <c r="K241" s="11"/>
    </row>
    <row r="242" spans="1:11" ht="15.9" x14ac:dyDescent="0.45">
      <c r="A242" s="78"/>
      <c r="B242" s="78"/>
      <c r="C242" s="78"/>
      <c r="D242" s="81"/>
      <c r="E242" s="79"/>
      <c r="F242" s="79"/>
      <c r="G242" s="81"/>
      <c r="H242" s="81"/>
      <c r="I242" s="11"/>
      <c r="J242" s="11"/>
      <c r="K242" s="11"/>
    </row>
    <row r="243" spans="1:11" ht="15.9" x14ac:dyDescent="0.45">
      <c r="A243" s="78"/>
      <c r="B243" s="78"/>
      <c r="C243" s="82"/>
      <c r="D243" s="81"/>
      <c r="E243" s="81"/>
      <c r="F243" s="81"/>
      <c r="G243" s="81"/>
      <c r="H243" s="81"/>
      <c r="I243" s="11"/>
      <c r="J243" s="11"/>
      <c r="K243" s="11"/>
    </row>
    <row r="244" spans="1:11" ht="15.9" x14ac:dyDescent="0.45">
      <c r="A244" s="78"/>
      <c r="B244" s="78"/>
      <c r="C244" s="80"/>
      <c r="D244" s="81"/>
      <c r="E244" s="81"/>
      <c r="F244" s="81"/>
      <c r="G244" s="81"/>
      <c r="H244" s="81"/>
      <c r="I244" s="6"/>
      <c r="J244" s="6"/>
      <c r="K244" s="6"/>
    </row>
    <row r="245" spans="1:11" ht="15.9" x14ac:dyDescent="0.45">
      <c r="A245" s="78"/>
      <c r="B245" s="78"/>
      <c r="C245" s="84"/>
      <c r="D245" s="81"/>
      <c r="E245" s="80"/>
      <c r="F245" s="81"/>
      <c r="G245" s="81"/>
      <c r="H245" s="81"/>
      <c r="I245" s="10"/>
      <c r="J245" s="6"/>
      <c r="K245" s="6"/>
    </row>
    <row r="246" spans="1:11" ht="15.9" x14ac:dyDescent="0.45">
      <c r="A246" s="78"/>
      <c r="B246" s="78"/>
      <c r="C246" s="84"/>
      <c r="D246" s="78"/>
      <c r="E246" s="78"/>
      <c r="F246" s="78"/>
      <c r="G246" s="78"/>
      <c r="H246" s="78"/>
      <c r="I246" s="10"/>
      <c r="J246" s="6"/>
      <c r="K246" s="6"/>
    </row>
    <row r="247" spans="1:11" ht="15.9" x14ac:dyDescent="0.45">
      <c r="A247" s="78"/>
      <c r="B247" s="80"/>
      <c r="C247" s="80"/>
      <c r="D247" s="81"/>
      <c r="E247" s="81"/>
      <c r="F247" s="81"/>
      <c r="G247" s="81"/>
      <c r="H247" s="81"/>
      <c r="I247" s="10"/>
      <c r="J247" s="6"/>
      <c r="K247" s="6"/>
    </row>
    <row r="248" spans="1:11" ht="15.9" x14ac:dyDescent="0.45">
      <c r="A248" s="78"/>
      <c r="B248" s="78"/>
      <c r="C248" s="82"/>
      <c r="D248" s="81"/>
      <c r="E248" s="81"/>
      <c r="F248" s="81"/>
      <c r="G248" s="81"/>
      <c r="H248" s="81"/>
      <c r="I248" s="10"/>
      <c r="J248" s="6"/>
      <c r="K248" s="6"/>
    </row>
    <row r="249" spans="1:11" ht="15.9" x14ac:dyDescent="0.45">
      <c r="A249" s="78"/>
      <c r="B249" s="78"/>
      <c r="C249" s="78"/>
      <c r="D249" s="81"/>
      <c r="E249" s="81"/>
      <c r="F249" s="81"/>
      <c r="G249" s="81"/>
      <c r="H249" s="81"/>
      <c r="I249" s="10"/>
      <c r="J249" s="6"/>
      <c r="K249" s="6"/>
    </row>
    <row r="250" spans="1:11" ht="15.9" x14ac:dyDescent="0.45">
      <c r="A250" s="78"/>
      <c r="B250" s="78"/>
      <c r="C250" s="82"/>
      <c r="D250" s="81"/>
      <c r="E250" s="81"/>
      <c r="F250" s="81"/>
      <c r="G250" s="81"/>
      <c r="H250" s="81"/>
      <c r="I250" s="6"/>
      <c r="J250" s="6"/>
      <c r="K250" s="6"/>
    </row>
    <row r="251" spans="1:11" ht="15.9" x14ac:dyDescent="0.45">
      <c r="A251" s="78"/>
      <c r="B251" s="78"/>
      <c r="C251" s="80"/>
      <c r="D251" s="81"/>
      <c r="E251" s="81"/>
      <c r="F251" s="81"/>
      <c r="G251" s="81"/>
      <c r="H251" s="81"/>
      <c r="I251" s="10"/>
      <c r="J251" s="6"/>
      <c r="K251" s="6"/>
    </row>
    <row r="252" spans="1:11" ht="15.9" x14ac:dyDescent="0.45">
      <c r="A252" s="78"/>
      <c r="B252" s="80"/>
      <c r="C252" s="85"/>
      <c r="D252" s="81"/>
      <c r="E252" s="81"/>
      <c r="F252" s="81"/>
      <c r="G252" s="81"/>
      <c r="H252" s="81"/>
      <c r="I252" s="10"/>
      <c r="J252" s="6"/>
      <c r="K252" s="6"/>
    </row>
    <row r="253" spans="1:11" ht="15.9" x14ac:dyDescent="0.45">
      <c r="A253" s="78"/>
      <c r="B253" s="80"/>
      <c r="C253" s="85"/>
      <c r="D253" s="81"/>
      <c r="E253" s="81"/>
      <c r="F253" s="81"/>
      <c r="G253" s="81"/>
      <c r="H253" s="81"/>
      <c r="I253" s="10"/>
      <c r="J253" s="6"/>
      <c r="K253" s="6"/>
    </row>
    <row r="254" spans="1:11" ht="15.9" x14ac:dyDescent="0.45">
      <c r="A254" s="78"/>
      <c r="B254" s="80"/>
      <c r="C254" s="85"/>
      <c r="D254" s="81"/>
      <c r="E254" s="81"/>
      <c r="F254" s="81"/>
      <c r="G254" s="81"/>
      <c r="H254" s="81"/>
      <c r="I254" s="6"/>
      <c r="J254" s="6"/>
      <c r="K254" s="6"/>
    </row>
    <row r="255" spans="1:11" ht="15.9" x14ac:dyDescent="0.45">
      <c r="A255" s="78"/>
      <c r="B255" s="78"/>
      <c r="C255" s="85"/>
      <c r="D255" s="86"/>
      <c r="E255" s="86"/>
      <c r="F255" s="86"/>
      <c r="G255" s="86"/>
      <c r="H255" s="86"/>
      <c r="I255" s="6"/>
      <c r="J255" s="6"/>
      <c r="K255" s="6"/>
    </row>
    <row r="256" spans="1:11" ht="15.9" x14ac:dyDescent="0.45">
      <c r="A256" s="78"/>
      <c r="B256" s="78"/>
      <c r="C256" s="85"/>
      <c r="D256" s="81"/>
      <c r="E256" s="86"/>
      <c r="F256" s="86"/>
      <c r="G256" s="86"/>
      <c r="H256" s="81"/>
      <c r="I256" s="6"/>
      <c r="J256" s="6"/>
      <c r="K256" s="6"/>
    </row>
    <row r="257" spans="1:11" ht="15.9" x14ac:dyDescent="0.45">
      <c r="A257" s="78"/>
      <c r="B257" s="78"/>
      <c r="C257" s="80"/>
      <c r="D257" s="81"/>
      <c r="E257" s="80"/>
      <c r="F257" s="81"/>
      <c r="G257" s="81"/>
      <c r="H257" s="81"/>
      <c r="I257" s="7"/>
      <c r="J257" s="6"/>
      <c r="K257" s="8"/>
    </row>
    <row r="258" spans="1:11" ht="15.9" x14ac:dyDescent="0.45">
      <c r="A258" s="78"/>
      <c r="B258" s="80"/>
      <c r="C258" s="85"/>
      <c r="D258" s="78"/>
      <c r="E258" s="78"/>
      <c r="F258" s="78"/>
      <c r="G258" s="78"/>
      <c r="H258" s="78"/>
      <c r="I258" s="7"/>
      <c r="J258" s="6"/>
      <c r="K258" s="8"/>
    </row>
    <row r="259" spans="1:11" ht="15.9" x14ac:dyDescent="0.45">
      <c r="A259" s="78"/>
      <c r="B259" s="80"/>
      <c r="C259" s="85"/>
      <c r="D259" s="81"/>
      <c r="E259" s="81"/>
      <c r="F259" s="81"/>
      <c r="G259" s="81"/>
      <c r="H259" s="81"/>
      <c r="I259" s="7"/>
      <c r="J259" s="6"/>
      <c r="K259" s="8"/>
    </row>
    <row r="260" spans="1:11" ht="15.9" x14ac:dyDescent="0.45">
      <c r="A260" s="78"/>
      <c r="B260" s="80"/>
      <c r="C260" s="85"/>
      <c r="D260" s="81"/>
      <c r="E260" s="81"/>
      <c r="F260" s="81"/>
      <c r="G260" s="81"/>
      <c r="H260" s="81"/>
      <c r="I260" s="7"/>
      <c r="J260" s="6"/>
      <c r="K260" s="8"/>
    </row>
    <row r="261" spans="1:11" ht="15.9" x14ac:dyDescent="0.45">
      <c r="A261" s="78"/>
      <c r="B261" s="78"/>
      <c r="C261" s="78"/>
      <c r="D261" s="81"/>
      <c r="E261" s="81"/>
      <c r="F261" s="81"/>
      <c r="G261" s="81"/>
      <c r="H261" s="81"/>
      <c r="I261" s="7"/>
      <c r="J261" s="6"/>
      <c r="K261" s="8"/>
    </row>
    <row r="262" spans="1:11" ht="15.9" x14ac:dyDescent="0.45">
      <c r="A262" s="78"/>
      <c r="B262" s="78"/>
      <c r="C262" s="78"/>
      <c r="D262" s="81"/>
      <c r="E262" s="81"/>
      <c r="F262" s="81"/>
      <c r="G262" s="81"/>
      <c r="H262" s="81"/>
      <c r="I262" s="6"/>
      <c r="J262" s="6"/>
      <c r="K262" s="6"/>
    </row>
    <row r="263" spans="1:11" ht="15.9" x14ac:dyDescent="0.45">
      <c r="A263" s="78"/>
      <c r="B263" s="78"/>
      <c r="C263" s="78"/>
      <c r="D263" s="81"/>
      <c r="E263" s="81"/>
      <c r="F263" s="81"/>
      <c r="G263" s="81"/>
      <c r="H263" s="81"/>
      <c r="I263" s="6"/>
      <c r="J263" s="6"/>
      <c r="K263" s="6"/>
    </row>
    <row r="264" spans="1:11" ht="15.9" x14ac:dyDescent="0.45">
      <c r="A264" s="78"/>
      <c r="B264" s="78"/>
      <c r="C264" s="80"/>
      <c r="D264" s="81"/>
      <c r="E264" s="81"/>
      <c r="F264" s="81"/>
      <c r="G264" s="81"/>
      <c r="H264" s="81"/>
      <c r="I264" s="7"/>
      <c r="J264" s="8"/>
      <c r="K264" s="8"/>
    </row>
    <row r="265" spans="1:11" ht="15.9" x14ac:dyDescent="0.45">
      <c r="A265" s="78"/>
      <c r="B265" s="78"/>
      <c r="C265" s="80"/>
      <c r="D265" s="81"/>
      <c r="E265" s="81"/>
      <c r="F265" s="81"/>
      <c r="G265" s="81"/>
      <c r="H265" s="81"/>
      <c r="I265" s="6"/>
      <c r="J265" s="6"/>
      <c r="K265" s="6"/>
    </row>
    <row r="266" spans="1:11" ht="15.9" x14ac:dyDescent="0.45">
      <c r="A266" s="78"/>
      <c r="B266" s="78"/>
      <c r="C266" s="80"/>
      <c r="D266" s="81"/>
      <c r="E266" s="81"/>
      <c r="F266" s="81"/>
      <c r="G266" s="81"/>
      <c r="H266" s="81"/>
      <c r="I266" s="10"/>
      <c r="J266" s="6"/>
      <c r="K266" s="6"/>
    </row>
    <row r="267" spans="1:11" ht="15.9" x14ac:dyDescent="0.45">
      <c r="A267" s="78"/>
      <c r="B267" s="78"/>
      <c r="C267" s="81"/>
      <c r="D267" s="86"/>
      <c r="E267" s="86"/>
      <c r="F267" s="86"/>
      <c r="G267" s="86"/>
      <c r="H267" s="86"/>
      <c r="I267" s="6"/>
      <c r="J267" s="6"/>
      <c r="K267" s="6"/>
    </row>
    <row r="268" spans="1:11" ht="15.9" x14ac:dyDescent="0.45">
      <c r="A268" s="78"/>
      <c r="B268" s="78"/>
      <c r="C268" s="80"/>
      <c r="D268" s="81"/>
      <c r="E268" s="81"/>
      <c r="F268" s="81"/>
      <c r="G268" s="81"/>
      <c r="H268" s="81"/>
      <c r="I268" s="6"/>
      <c r="J268" s="6"/>
      <c r="K268" s="6"/>
    </row>
    <row r="269" spans="1:11" ht="15.9" x14ac:dyDescent="0.45">
      <c r="A269" s="78"/>
      <c r="B269" s="78"/>
      <c r="C269" s="80"/>
      <c r="D269" s="81"/>
      <c r="E269" s="80"/>
      <c r="F269" s="81"/>
      <c r="G269" s="81"/>
      <c r="H269" s="81"/>
      <c r="I269" s="6"/>
      <c r="J269" s="6"/>
      <c r="K269" s="6"/>
    </row>
    <row r="270" spans="1:11" ht="15.9" x14ac:dyDescent="0.45">
      <c r="A270" s="78"/>
      <c r="B270" s="78"/>
      <c r="C270" s="80"/>
      <c r="D270" s="78"/>
      <c r="E270" s="78"/>
      <c r="F270" s="78"/>
      <c r="G270" s="78"/>
      <c r="H270" s="78"/>
      <c r="I270" s="6"/>
      <c r="J270" s="6"/>
      <c r="K270" s="6"/>
    </row>
    <row r="271" spans="1:11" ht="15.9" x14ac:dyDescent="0.45">
      <c r="A271" s="78"/>
      <c r="B271" s="78"/>
      <c r="C271" s="80"/>
      <c r="D271" s="81"/>
      <c r="E271" s="81"/>
      <c r="F271" s="81"/>
      <c r="G271" s="81"/>
      <c r="H271" s="81"/>
      <c r="I271" s="6"/>
      <c r="J271" s="6"/>
      <c r="K271" s="6"/>
    </row>
    <row r="272" spans="1:11" ht="15.9" x14ac:dyDescent="0.45">
      <c r="A272" s="78"/>
      <c r="B272" s="78"/>
      <c r="C272" s="80"/>
      <c r="D272" s="81"/>
      <c r="E272" s="81"/>
      <c r="F272" s="81"/>
      <c r="G272" s="81"/>
      <c r="H272" s="81"/>
      <c r="I272" s="7"/>
      <c r="J272" s="6"/>
      <c r="K272" s="8"/>
    </row>
    <row r="273" spans="1:11" ht="15.9" x14ac:dyDescent="0.45">
      <c r="A273" s="78"/>
      <c r="B273" s="78"/>
      <c r="C273" s="78"/>
      <c r="D273" s="81"/>
      <c r="E273" s="81"/>
      <c r="F273" s="81"/>
      <c r="G273" s="81"/>
      <c r="H273" s="81"/>
      <c r="I273" s="7"/>
      <c r="J273" s="6"/>
      <c r="K273" s="8"/>
    </row>
    <row r="274" spans="1:11" ht="15.9" x14ac:dyDescent="0.45">
      <c r="A274" s="78"/>
      <c r="B274" s="78"/>
      <c r="C274" s="82"/>
      <c r="D274" s="81"/>
      <c r="E274" s="81"/>
      <c r="F274" s="81"/>
      <c r="G274" s="81"/>
      <c r="H274" s="81"/>
      <c r="I274" s="6"/>
      <c r="J274" s="6"/>
      <c r="K274" s="8"/>
    </row>
    <row r="275" spans="1:11" ht="15.9" x14ac:dyDescent="0.45">
      <c r="A275" s="78"/>
      <c r="B275" s="78"/>
      <c r="C275" s="78"/>
      <c r="D275" s="81"/>
      <c r="E275" s="81"/>
      <c r="F275" s="81"/>
      <c r="G275" s="81"/>
      <c r="H275" s="81"/>
      <c r="I275" s="11"/>
      <c r="J275" s="11"/>
      <c r="K275" s="8"/>
    </row>
    <row r="276" spans="1:11" ht="15.9" x14ac:dyDescent="0.45">
      <c r="A276" s="78"/>
      <c r="B276" s="78"/>
      <c r="C276" s="78"/>
      <c r="D276" s="81"/>
      <c r="E276" s="81"/>
      <c r="F276" s="81"/>
      <c r="G276" s="81"/>
      <c r="H276" s="81"/>
      <c r="I276" s="11"/>
      <c r="J276" s="11"/>
      <c r="K276" s="11"/>
    </row>
    <row r="277" spans="1:11" ht="15.9" x14ac:dyDescent="0.45">
      <c r="A277" s="78"/>
      <c r="B277" s="78"/>
      <c r="C277" s="78"/>
      <c r="D277" s="81"/>
      <c r="E277" s="81"/>
      <c r="F277" s="81"/>
      <c r="G277" s="81"/>
      <c r="H277" s="81"/>
      <c r="I277" s="11"/>
      <c r="J277" s="11"/>
      <c r="K277" s="11"/>
    </row>
    <row r="278" spans="1:11" ht="15.9" x14ac:dyDescent="0.45">
      <c r="A278" s="78"/>
      <c r="B278" s="78"/>
      <c r="C278" s="78"/>
      <c r="D278" s="81"/>
      <c r="E278" s="81"/>
      <c r="F278" s="81"/>
      <c r="G278" s="81"/>
      <c r="H278" s="81"/>
      <c r="I278" s="6"/>
      <c r="J278" s="11"/>
      <c r="K278" s="11"/>
    </row>
    <row r="279" spans="1:11" ht="15.9" x14ac:dyDescent="0.45">
      <c r="A279" s="78"/>
      <c r="B279" s="78"/>
      <c r="C279" s="80"/>
      <c r="D279" s="86"/>
      <c r="E279" s="86"/>
      <c r="F279" s="86"/>
      <c r="G279" s="86"/>
      <c r="H279" s="86"/>
      <c r="I279" s="11"/>
      <c r="J279" s="11"/>
      <c r="K279" s="11"/>
    </row>
    <row r="280" spans="1:11" ht="15.9" x14ac:dyDescent="0.45">
      <c r="A280" s="78"/>
      <c r="B280" s="78"/>
      <c r="C280" s="78"/>
      <c r="D280" s="78"/>
      <c r="E280" s="78"/>
      <c r="F280" s="78"/>
      <c r="G280" s="78"/>
      <c r="H280" s="78"/>
      <c r="I280" s="11"/>
      <c r="J280" s="11"/>
      <c r="K280" s="11"/>
    </row>
    <row r="281" spans="1:11" ht="15.9" x14ac:dyDescent="0.45">
      <c r="A281" s="78"/>
      <c r="B281" s="78"/>
      <c r="C281" s="78"/>
      <c r="D281" s="78"/>
      <c r="E281" s="87"/>
      <c r="F281" s="80"/>
      <c r="G281" s="80"/>
      <c r="H281" s="78"/>
      <c r="I281" s="11"/>
      <c r="J281" s="11"/>
      <c r="K281" s="11"/>
    </row>
    <row r="282" spans="1:11" ht="15.9" x14ac:dyDescent="0.45">
      <c r="A282" s="80"/>
      <c r="B282" s="78"/>
      <c r="C282" s="78"/>
      <c r="D282" s="78"/>
      <c r="E282" s="78"/>
      <c r="F282" s="78"/>
      <c r="G282" s="78"/>
      <c r="H282" s="78"/>
      <c r="I282" s="11"/>
      <c r="J282" s="11"/>
      <c r="K282" s="11"/>
    </row>
    <row r="283" spans="1:11" ht="15.9" x14ac:dyDescent="0.45">
      <c r="A283" s="78"/>
      <c r="B283" s="80"/>
      <c r="C283" s="80"/>
      <c r="D283" s="81"/>
      <c r="E283" s="81"/>
      <c r="F283" s="81"/>
      <c r="G283" s="81"/>
      <c r="H283" s="81"/>
      <c r="I283" s="11"/>
      <c r="J283" s="11"/>
      <c r="K283" s="11"/>
    </row>
    <row r="284" spans="1:11" ht="15.9" x14ac:dyDescent="0.45">
      <c r="A284" s="78"/>
      <c r="B284" s="78"/>
      <c r="C284" s="78"/>
      <c r="D284" s="81"/>
      <c r="E284" s="87"/>
      <c r="F284" s="81"/>
      <c r="G284" s="81"/>
      <c r="H284" s="81"/>
      <c r="I284" s="11"/>
      <c r="J284" s="11"/>
      <c r="K284" s="6"/>
    </row>
    <row r="285" spans="1:11" ht="15.9" x14ac:dyDescent="0.45">
      <c r="A285" s="78"/>
      <c r="B285" s="80"/>
      <c r="C285" s="78"/>
      <c r="D285" s="81"/>
      <c r="E285" s="86"/>
      <c r="F285" s="86"/>
      <c r="G285" s="86"/>
      <c r="H285" s="86"/>
      <c r="I285" s="11"/>
      <c r="J285" s="11"/>
      <c r="K285" s="6"/>
    </row>
    <row r="286" spans="1:11" ht="15.9" x14ac:dyDescent="0.45">
      <c r="A286" s="78"/>
      <c r="B286" s="80"/>
      <c r="C286" s="78"/>
      <c r="D286" s="81"/>
      <c r="E286" s="81"/>
      <c r="F286" s="81"/>
      <c r="G286" s="81"/>
      <c r="H286" s="81"/>
      <c r="I286" s="11"/>
      <c r="J286" s="11"/>
      <c r="K286" s="11"/>
    </row>
    <row r="287" spans="1:11" ht="15.9" x14ac:dyDescent="0.45">
      <c r="A287" s="78"/>
      <c r="B287" s="78"/>
      <c r="C287" s="80"/>
      <c r="D287" s="78"/>
      <c r="E287" s="78"/>
      <c r="F287" s="78"/>
      <c r="G287" s="78"/>
      <c r="H287" s="78"/>
      <c r="I287" s="11"/>
      <c r="J287" s="11"/>
      <c r="K287" s="11"/>
    </row>
    <row r="288" spans="1:11" ht="15.9" x14ac:dyDescent="0.45">
      <c r="A288" s="78"/>
      <c r="B288" s="80"/>
      <c r="C288" s="80"/>
      <c r="D288" s="81"/>
      <c r="E288" s="81"/>
      <c r="F288" s="81"/>
      <c r="G288" s="81"/>
      <c r="H288" s="81"/>
      <c r="I288" s="11"/>
      <c r="J288" s="11"/>
      <c r="K288" s="11"/>
    </row>
    <row r="289" spans="1:11" ht="15.9" x14ac:dyDescent="0.45">
      <c r="A289" s="78"/>
      <c r="B289" s="78"/>
      <c r="C289" s="78"/>
      <c r="D289" s="81"/>
      <c r="E289" s="81"/>
      <c r="F289" s="81"/>
      <c r="G289" s="81"/>
      <c r="H289" s="81"/>
      <c r="I289" s="11"/>
      <c r="J289" s="11"/>
      <c r="K289" s="11"/>
    </row>
    <row r="290" spans="1:11" ht="15.9" x14ac:dyDescent="0.45">
      <c r="A290" s="78"/>
      <c r="B290" s="78"/>
      <c r="C290" s="80"/>
      <c r="D290" s="81"/>
      <c r="E290" s="81"/>
      <c r="F290" s="81"/>
      <c r="G290" s="81"/>
      <c r="H290" s="81"/>
      <c r="I290" s="11"/>
      <c r="J290" s="11"/>
      <c r="K290" s="11"/>
    </row>
    <row r="291" spans="1:11" ht="15.9" x14ac:dyDescent="0.45">
      <c r="A291" s="78"/>
      <c r="B291" s="78"/>
      <c r="C291" s="80"/>
      <c r="D291" s="81"/>
      <c r="E291" s="81"/>
      <c r="F291" s="81"/>
      <c r="G291" s="81"/>
      <c r="H291" s="81"/>
      <c r="I291" s="11"/>
      <c r="J291" s="11"/>
      <c r="K291" s="11"/>
    </row>
    <row r="292" spans="1:11" ht="12" x14ac:dyDescent="0.35">
      <c r="A292" s="6"/>
      <c r="B292" s="6"/>
      <c r="C292" s="8"/>
      <c r="D292" s="9"/>
      <c r="E292" s="12"/>
      <c r="F292" s="9"/>
      <c r="G292" s="9"/>
      <c r="H292" s="9"/>
      <c r="I292" s="11"/>
      <c r="J292" s="11"/>
      <c r="K292" s="11"/>
    </row>
    <row r="293" spans="1:11" ht="12" x14ac:dyDescent="0.35">
      <c r="A293" s="6"/>
      <c r="B293" s="6"/>
      <c r="C293" s="6"/>
      <c r="D293" s="9"/>
      <c r="E293" s="9"/>
      <c r="F293" s="9"/>
      <c r="G293" s="9"/>
      <c r="H293" s="9"/>
      <c r="I293" s="11"/>
      <c r="J293" s="11"/>
      <c r="K293" s="6"/>
    </row>
    <row r="294" spans="1:11" ht="12" x14ac:dyDescent="0.35">
      <c r="A294" s="6"/>
      <c r="B294" s="6"/>
      <c r="C294" s="6"/>
      <c r="D294" s="9"/>
      <c r="E294" s="11"/>
      <c r="F294" s="11"/>
      <c r="G294" s="11"/>
      <c r="H294" s="11"/>
      <c r="I294" s="11"/>
      <c r="J294" s="11"/>
      <c r="K294" s="6"/>
    </row>
    <row r="295" spans="1:11" ht="12" x14ac:dyDescent="0.35">
      <c r="A295" s="6"/>
      <c r="B295" s="6"/>
      <c r="C295" s="6"/>
      <c r="D295" s="6"/>
      <c r="E295" s="6"/>
      <c r="F295" s="6"/>
      <c r="G295" s="6"/>
      <c r="H295" s="6"/>
      <c r="I295" s="11"/>
      <c r="J295" s="11"/>
      <c r="K295" s="6"/>
    </row>
    <row r="296" spans="1:11" ht="12" x14ac:dyDescent="0.35">
      <c r="A296" s="6"/>
      <c r="B296" s="6"/>
      <c r="C296" s="8"/>
      <c r="D296" s="9"/>
      <c r="E296" s="9"/>
      <c r="F296" s="9"/>
      <c r="G296" s="9"/>
      <c r="H296" s="9"/>
      <c r="I296" s="11"/>
      <c r="J296" s="11"/>
      <c r="K296" s="6"/>
    </row>
    <row r="297" spans="1:11" ht="12" x14ac:dyDescent="0.35">
      <c r="A297" s="6"/>
      <c r="B297" s="6"/>
      <c r="C297" s="6"/>
      <c r="D297" s="9"/>
      <c r="E297" s="9"/>
      <c r="F297" s="9"/>
      <c r="G297" s="9"/>
      <c r="H297" s="9"/>
      <c r="I297" s="11"/>
      <c r="J297" s="11"/>
      <c r="K297" s="6"/>
    </row>
    <row r="298" spans="1:11" ht="12" x14ac:dyDescent="0.35">
      <c r="A298" s="6"/>
      <c r="B298" s="6"/>
      <c r="C298" s="6"/>
      <c r="D298" s="9"/>
      <c r="E298" s="9"/>
      <c r="F298" s="9"/>
      <c r="G298" s="9"/>
      <c r="H298" s="9"/>
      <c r="I298" s="11"/>
      <c r="J298" s="11"/>
      <c r="K298" s="6"/>
    </row>
    <row r="299" spans="1:11" ht="12" x14ac:dyDescent="0.35">
      <c r="A299" s="8"/>
      <c r="B299" s="6"/>
      <c r="C299" s="6"/>
      <c r="D299" s="6"/>
      <c r="E299" s="8"/>
      <c r="F299" s="7"/>
      <c r="G299" s="13"/>
      <c r="H299" s="7"/>
      <c r="I299" s="6"/>
      <c r="J299" s="6"/>
      <c r="K299" s="6"/>
    </row>
    <row r="300" spans="1:11" ht="12" x14ac:dyDescent="0.35">
      <c r="A300" s="6"/>
      <c r="B300" s="6"/>
      <c r="C300" s="6"/>
      <c r="D300" s="6"/>
      <c r="E300" s="6"/>
      <c r="F300" s="6"/>
      <c r="G300" s="6"/>
      <c r="H300" s="6"/>
      <c r="I300" s="11"/>
      <c r="J300" s="6"/>
      <c r="K300" s="6"/>
    </row>
    <row r="301" spans="1:11" ht="12" x14ac:dyDescent="0.35">
      <c r="A301" s="8"/>
      <c r="B301" s="6"/>
      <c r="C301" s="6"/>
      <c r="D301" s="6"/>
      <c r="E301" s="9"/>
      <c r="F301" s="7"/>
      <c r="G301" s="9"/>
      <c r="H301" s="10"/>
      <c r="I301" s="11"/>
      <c r="J301" s="6"/>
      <c r="K301" s="6"/>
    </row>
    <row r="302" spans="1:11" ht="12" x14ac:dyDescent="0.35">
      <c r="A302" s="8"/>
      <c r="B302" s="6"/>
      <c r="C302" s="8"/>
      <c r="D302" s="6"/>
      <c r="E302" s="6"/>
      <c r="F302" s="7"/>
      <c r="G302" s="13"/>
      <c r="H302" s="11"/>
    </row>
    <row r="303" spans="1:11" ht="12" x14ac:dyDescent="0.35">
      <c r="A303" s="8"/>
      <c r="B303" s="6"/>
      <c r="C303" s="6"/>
      <c r="D303" s="8"/>
      <c r="E303" s="6"/>
      <c r="F303" s="7"/>
      <c r="G303" s="13"/>
      <c r="H303" s="11"/>
    </row>
    <row r="304" spans="1:11" ht="12" x14ac:dyDescent="0.35">
      <c r="A304" s="8"/>
      <c r="B304" s="6"/>
      <c r="C304" s="8"/>
      <c r="D304" s="6"/>
      <c r="E304" s="6"/>
      <c r="F304" s="7"/>
      <c r="G304" s="13"/>
      <c r="H304" s="11"/>
    </row>
    <row r="305" spans="1:8" ht="12" x14ac:dyDescent="0.35">
      <c r="A305" s="8"/>
      <c r="B305" s="6"/>
      <c r="C305" s="6"/>
      <c r="D305" s="8"/>
      <c r="E305" s="6"/>
      <c r="F305" s="7"/>
      <c r="G305" s="9"/>
      <c r="H305" s="11"/>
    </row>
    <row r="306" spans="1:8" ht="12" x14ac:dyDescent="0.35">
      <c r="A306" s="8"/>
      <c r="B306" s="8"/>
      <c r="C306" s="7"/>
      <c r="D306" s="8"/>
      <c r="E306" s="6"/>
      <c r="F306" s="7"/>
      <c r="G306" s="9"/>
      <c r="H306" s="11"/>
    </row>
    <row r="307" spans="1:8" ht="12" x14ac:dyDescent="0.35">
      <c r="A307" s="8"/>
      <c r="B307" s="8"/>
      <c r="C307" s="6"/>
      <c r="D307" s="8"/>
      <c r="E307" s="6"/>
      <c r="F307" s="7"/>
      <c r="G307" s="9"/>
      <c r="H307" s="11"/>
    </row>
    <row r="308" spans="1:8" ht="12" x14ac:dyDescent="0.35">
      <c r="A308" s="8"/>
      <c r="B308" s="8"/>
      <c r="C308" s="7"/>
      <c r="D308" s="8"/>
      <c r="E308" s="6"/>
      <c r="F308" s="7"/>
      <c r="G308" s="9"/>
      <c r="H308" s="11"/>
    </row>
    <row r="309" spans="1:8" ht="12" x14ac:dyDescent="0.35">
      <c r="A309" s="8"/>
      <c r="B309" s="8"/>
      <c r="C309" s="7"/>
      <c r="D309" s="8"/>
      <c r="E309" s="6"/>
      <c r="F309" s="7"/>
      <c r="G309" s="9"/>
      <c r="H309" s="11"/>
    </row>
    <row r="310" spans="1:8" ht="12" x14ac:dyDescent="0.35">
      <c r="A310" s="8"/>
      <c r="B310" s="8"/>
      <c r="C310" s="7"/>
      <c r="D310" s="7"/>
      <c r="E310" s="6"/>
      <c r="F310" s="7"/>
      <c r="G310" s="9"/>
      <c r="H310" s="11"/>
    </row>
    <row r="311" spans="1:8" ht="12" x14ac:dyDescent="0.35">
      <c r="A311" s="8"/>
      <c r="B311" s="8"/>
      <c r="C311" s="7"/>
      <c r="D311" s="8"/>
      <c r="E311" s="6"/>
      <c r="F311" s="7"/>
      <c r="G311" s="9"/>
      <c r="H311" s="11"/>
    </row>
    <row r="312" spans="1:8" ht="12" x14ac:dyDescent="0.35">
      <c r="A312" s="6"/>
      <c r="B312" s="6"/>
      <c r="C312" s="7"/>
      <c r="D312" s="6"/>
      <c r="E312" s="6"/>
      <c r="F312" s="6"/>
      <c r="G312" s="6"/>
      <c r="H312" s="11"/>
    </row>
    <row r="313" spans="1:8" ht="12" x14ac:dyDescent="0.35">
      <c r="A313" s="8"/>
      <c r="B313" s="8"/>
      <c r="C313" s="7"/>
      <c r="D313" s="8"/>
      <c r="E313" s="6"/>
      <c r="F313" s="7"/>
      <c r="G313" s="9"/>
      <c r="H313" s="11"/>
    </row>
    <row r="314" spans="1:8" ht="12" x14ac:dyDescent="0.35">
      <c r="A314" s="6"/>
      <c r="B314" s="6"/>
      <c r="C314" s="7"/>
      <c r="D314" s="6"/>
      <c r="E314" s="6"/>
      <c r="F314" s="6"/>
      <c r="G314" s="6"/>
      <c r="H314" s="11"/>
    </row>
    <row r="315" spans="1:8" ht="12" x14ac:dyDescent="0.35">
      <c r="A315" s="8"/>
      <c r="B315" s="8"/>
      <c r="C315" s="6"/>
      <c r="D315" s="8"/>
      <c r="E315" s="8"/>
      <c r="F315" s="7"/>
      <c r="G315" s="9"/>
      <c r="H315" s="6"/>
    </row>
    <row r="316" spans="1:8" ht="12" x14ac:dyDescent="0.35">
      <c r="A316" s="6"/>
      <c r="B316" s="6"/>
      <c r="C316" s="6"/>
      <c r="D316" s="6"/>
      <c r="E316" s="6"/>
      <c r="F316" s="6"/>
      <c r="G316" s="6"/>
      <c r="H316" s="6"/>
    </row>
    <row r="317" spans="1:8" ht="12" x14ac:dyDescent="0.35">
      <c r="A317" s="8"/>
      <c r="B317" s="8"/>
      <c r="C317" s="6"/>
      <c r="D317" s="8"/>
      <c r="E317" s="8"/>
      <c r="F317" s="8"/>
      <c r="G317" s="8"/>
      <c r="H317" s="8"/>
    </row>
  </sheetData>
  <sheetProtection algorithmName="SHA-512" hashValue="+tGZkmWjqBCArTqhxVZdTd7RVNAc5hdQoMxGyGnfdiHQ2onLPqN7h7sZbaQ2vwzRJ218BGU17pEDRYMxyePoRg==" saltValue="8tzjng9HGKkG52xgG/ppOA==" spinCount="100000" sheet="1" objects="1" scenarios="1"/>
  <hyperlinks>
    <hyperlink ref="D157" r:id="rId1" xr:uid="{7FD129EB-5B39-4C85-B591-FDADDAE9F0C7}"/>
  </hyperlinks>
  <pageMargins left="0.75" right="0.75" top="1" bottom="1" header="0.5" footer="0.5"/>
  <pageSetup scale="65" orientation="portrait" r:id="rId2"/>
  <headerFooter alignWithMargins="0">
    <oddHeader xml:space="preserve">&amp;L                                                                        </oddHeader>
    <oddFooter>&amp;CPage -&amp;P-</oddFooter>
  </headerFooter>
  <rowBreaks count="2" manualBreakCount="2">
    <brk id="58" max="23" man="1"/>
    <brk id="103" max="23" man="1"/>
  </rowBreaks>
  <colBreaks count="1" manualBreakCount="1">
    <brk id="8" max="156" man="1"/>
  </colBreaks>
  <ignoredErrors>
    <ignoredError sqref="D48" unlockedFormula="1"/>
    <ignoredError sqref="E141:E14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418F-69F0-4E86-8C89-F404F58FEE00}">
  <dimension ref="A1:AG55"/>
  <sheetViews>
    <sheetView zoomScaleNormal="100" workbookViewId="0">
      <selection activeCell="B10" sqref="B10"/>
    </sheetView>
  </sheetViews>
  <sheetFormatPr defaultColWidth="9" defaultRowHeight="15" x14ac:dyDescent="0.35"/>
  <cols>
    <col min="1" max="1" width="52.53515625" style="119" customWidth="1"/>
    <col min="2" max="2" width="19.3828125" style="119" bestFit="1" customWidth="1"/>
    <col min="3" max="3" width="15.3046875" style="119" bestFit="1" customWidth="1"/>
    <col min="4" max="4" width="19.53515625" style="119" bestFit="1" customWidth="1"/>
    <col min="5" max="5" width="20.53515625" style="119" bestFit="1" customWidth="1"/>
    <col min="6" max="6" width="17" style="119" customWidth="1"/>
    <col min="7" max="7" width="9" style="119" hidden="1" customWidth="1"/>
    <col min="8" max="8" width="10.3046875" style="119" hidden="1" customWidth="1"/>
    <col min="9" max="9" width="9" style="119" hidden="1" customWidth="1"/>
    <col min="10" max="10" width="10.84375" style="119" hidden="1" customWidth="1"/>
    <col min="11" max="11" width="16.84375" style="119" hidden="1" customWidth="1"/>
    <col min="12" max="29" width="9" style="119" hidden="1" customWidth="1"/>
    <col min="30" max="30" width="14" style="119" hidden="1" customWidth="1"/>
    <col min="31" max="31" width="9.69140625" style="119" hidden="1" customWidth="1"/>
    <col min="32" max="32" width="10.3046875" style="119" hidden="1" customWidth="1"/>
    <col min="33" max="33" width="9" style="119" hidden="1" customWidth="1"/>
    <col min="34" max="35" width="9" style="119" customWidth="1"/>
    <col min="36" max="16384" width="9" style="119"/>
  </cols>
  <sheetData>
    <row r="1" spans="1:30" ht="30.9" x14ac:dyDescent="0.4">
      <c r="A1" s="116" t="s">
        <v>151</v>
      </c>
      <c r="B1" s="117"/>
      <c r="C1" s="117"/>
      <c r="D1" s="117"/>
      <c r="E1" s="117" t="s">
        <v>152</v>
      </c>
      <c r="F1" s="118" t="s">
        <v>153</v>
      </c>
      <c r="I1" s="119" t="s">
        <v>154</v>
      </c>
      <c r="J1" s="120">
        <v>0.04</v>
      </c>
    </row>
    <row r="2" spans="1:30" x14ac:dyDescent="0.35">
      <c r="A2" s="121"/>
      <c r="B2" s="122"/>
      <c r="C2" s="122"/>
      <c r="D2" s="122"/>
      <c r="E2" s="122"/>
      <c r="F2" s="123"/>
      <c r="I2" s="119" t="s">
        <v>155</v>
      </c>
      <c r="J2" s="120">
        <v>0.04</v>
      </c>
      <c r="K2" s="119" t="s">
        <v>156</v>
      </c>
    </row>
    <row r="3" spans="1:30" ht="15.45" x14ac:dyDescent="0.4">
      <c r="A3" s="124" t="s">
        <v>157</v>
      </c>
      <c r="B3" s="125" t="s">
        <v>158</v>
      </c>
      <c r="C3" s="125" t="s">
        <v>159</v>
      </c>
      <c r="D3" s="125" t="s">
        <v>160</v>
      </c>
      <c r="E3" s="122"/>
      <c r="F3" s="123"/>
      <c r="J3" s="119">
        <v>5</v>
      </c>
      <c r="K3" s="119" t="s">
        <v>161</v>
      </c>
    </row>
    <row r="4" spans="1:30" ht="15.45" x14ac:dyDescent="0.4">
      <c r="A4" s="126"/>
      <c r="B4" s="179"/>
      <c r="C4" s="179"/>
      <c r="D4" s="179"/>
      <c r="E4" s="179"/>
      <c r="F4" s="205"/>
      <c r="H4" s="131"/>
      <c r="J4" s="131"/>
      <c r="K4" s="131"/>
      <c r="L4" s="132"/>
      <c r="AD4" s="132">
        <f>(SUM(H4:H8)-SUM(H4:H8)*D43)/2</f>
        <v>64867.5</v>
      </c>
    </row>
    <row r="5" spans="1:30" ht="15.45" x14ac:dyDescent="0.4">
      <c r="A5" s="126" t="s">
        <v>162</v>
      </c>
      <c r="B5" s="127">
        <f>LAMB!D7</f>
        <v>400</v>
      </c>
      <c r="C5" s="127">
        <f>B5*8</f>
        <v>3200</v>
      </c>
      <c r="D5" s="128">
        <v>24</v>
      </c>
      <c r="E5" s="129">
        <f>D5*C5</f>
        <v>76800</v>
      </c>
      <c r="F5" s="130">
        <v>1</v>
      </c>
      <c r="H5" s="131">
        <f t="shared" ref="H5:H8" si="0">E5*F5</f>
        <v>76800</v>
      </c>
      <c r="J5" s="131">
        <f t="shared" ref="J5:J8" si="1">E5*(1+$J$1)^$J$3</f>
        <v>93438.942904320022</v>
      </c>
      <c r="K5" s="131">
        <v>112759.39099443203</v>
      </c>
      <c r="L5" s="132">
        <f t="shared" ref="L5:L6" si="2">K5/C5</f>
        <v>35.23730968576001</v>
      </c>
    </row>
    <row r="6" spans="1:30" ht="18" x14ac:dyDescent="0.4">
      <c r="A6" s="126" t="s">
        <v>214</v>
      </c>
      <c r="B6" s="133"/>
      <c r="C6" s="28">
        <f>100*30</f>
        <v>3000</v>
      </c>
      <c r="D6" s="128">
        <v>18</v>
      </c>
      <c r="E6" s="129">
        <f>D6*C6</f>
        <v>54000</v>
      </c>
      <c r="F6" s="130">
        <v>1</v>
      </c>
      <c r="H6" s="131">
        <f t="shared" si="0"/>
        <v>54000</v>
      </c>
      <c r="J6" s="131">
        <f t="shared" si="1"/>
        <v>65699.25672960002</v>
      </c>
      <c r="K6" s="131">
        <v>54749.380608000014</v>
      </c>
      <c r="L6" s="132">
        <f t="shared" si="2"/>
        <v>18.249793536000006</v>
      </c>
    </row>
    <row r="7" spans="1:30" ht="15.45" x14ac:dyDescent="0.4">
      <c r="A7" s="126" t="s">
        <v>163</v>
      </c>
      <c r="B7" s="133"/>
      <c r="C7" s="133"/>
      <c r="D7" s="134"/>
      <c r="E7" s="129">
        <v>9700</v>
      </c>
      <c r="F7" s="130">
        <v>1</v>
      </c>
      <c r="H7" s="131">
        <f t="shared" si="0"/>
        <v>9700</v>
      </c>
      <c r="J7" s="131">
        <f t="shared" si="1"/>
        <v>11801.533153280003</v>
      </c>
      <c r="K7" s="119">
        <v>9733.2232192000029</v>
      </c>
    </row>
    <row r="8" spans="1:30" ht="15.45" x14ac:dyDescent="0.4">
      <c r="A8" s="126" t="s">
        <v>164</v>
      </c>
      <c r="B8" s="133"/>
      <c r="C8" s="133"/>
      <c r="D8" s="134"/>
      <c r="E8" s="129">
        <v>3650</v>
      </c>
      <c r="F8" s="130">
        <v>1</v>
      </c>
      <c r="H8" s="131">
        <f t="shared" si="0"/>
        <v>3650</v>
      </c>
      <c r="J8" s="131">
        <f t="shared" si="1"/>
        <v>4440.7830937600011</v>
      </c>
      <c r="K8" s="119">
        <v>3649.9587072000008</v>
      </c>
    </row>
    <row r="9" spans="1:30" ht="15.45" x14ac:dyDescent="0.4">
      <c r="A9" s="124" t="s">
        <v>165</v>
      </c>
      <c r="B9" s="135"/>
      <c r="C9" s="135"/>
      <c r="D9" s="135"/>
      <c r="E9" s="136"/>
      <c r="F9" s="123"/>
    </row>
    <row r="10" spans="1:30" ht="15.45" x14ac:dyDescent="0.4">
      <c r="A10" s="126" t="s">
        <v>166</v>
      </c>
      <c r="B10" s="133"/>
      <c r="C10" s="133"/>
      <c r="D10" s="134"/>
      <c r="E10" s="129">
        <v>85000</v>
      </c>
      <c r="F10" s="130">
        <v>0.5</v>
      </c>
      <c r="H10" s="131">
        <f t="shared" ref="H10:H13" si="3">E10*F10</f>
        <v>42500</v>
      </c>
      <c r="J10" s="131">
        <f>E10*(1+$J$2)^$J$3</f>
        <v>103415.49670400003</v>
      </c>
      <c r="K10" s="119">
        <v>85165.703168000022</v>
      </c>
      <c r="AD10" s="132">
        <f>(SUM(H10:H13)-SUM(H10:H14)*D44)/2</f>
        <v>41323.5</v>
      </c>
    </row>
    <row r="11" spans="1:30" ht="15.45" x14ac:dyDescent="0.4">
      <c r="A11" s="126" t="s">
        <v>167</v>
      </c>
      <c r="B11" s="133"/>
      <c r="C11" s="133"/>
      <c r="D11" s="134"/>
      <c r="E11" s="129">
        <v>50000</v>
      </c>
      <c r="F11" s="130">
        <v>0.5</v>
      </c>
      <c r="H11" s="131">
        <f t="shared" si="3"/>
        <v>25000</v>
      </c>
      <c r="J11" s="131">
        <f t="shared" ref="J11:J13" si="4">E11*(1+$J$2)^$J$3</f>
        <v>60832.645120000016</v>
      </c>
      <c r="K11" s="119">
        <v>60832.645120000016</v>
      </c>
    </row>
    <row r="12" spans="1:30" ht="15.45" x14ac:dyDescent="0.4">
      <c r="A12" s="126" t="s">
        <v>168</v>
      </c>
      <c r="B12" s="133"/>
      <c r="C12" s="133"/>
      <c r="D12" s="134"/>
      <c r="E12" s="129">
        <v>6080</v>
      </c>
      <c r="F12" s="130">
        <v>1</v>
      </c>
      <c r="H12" s="131">
        <f t="shared" si="3"/>
        <v>6080</v>
      </c>
      <c r="J12" s="131">
        <f t="shared" si="4"/>
        <v>7397.2496465920021</v>
      </c>
      <c r="K12" s="119">
        <v>6083.2645120000016</v>
      </c>
    </row>
    <row r="13" spans="1:30" ht="15.45" x14ac:dyDescent="0.4">
      <c r="A13" s="126" t="s">
        <v>169</v>
      </c>
      <c r="B13" s="133"/>
      <c r="C13" s="133"/>
      <c r="D13" s="134"/>
      <c r="E13" s="129">
        <v>18250</v>
      </c>
      <c r="F13" s="130">
        <v>1</v>
      </c>
      <c r="H13" s="131">
        <f t="shared" si="3"/>
        <v>18250</v>
      </c>
      <c r="J13" s="131">
        <f t="shared" si="4"/>
        <v>22203.915468800005</v>
      </c>
      <c r="K13" s="119">
        <v>18249.793536000005</v>
      </c>
    </row>
    <row r="14" spans="1:30" ht="15.45" x14ac:dyDescent="0.4">
      <c r="A14" s="124" t="s">
        <v>170</v>
      </c>
      <c r="B14" s="135"/>
      <c r="C14" s="135"/>
      <c r="D14" s="135"/>
      <c r="E14" s="136"/>
      <c r="F14" s="123"/>
    </row>
    <row r="15" spans="1:30" ht="15.45" x14ac:dyDescent="0.4">
      <c r="A15" s="137" t="s">
        <v>171</v>
      </c>
      <c r="B15" s="134"/>
      <c r="C15" s="134"/>
      <c r="D15" s="134"/>
      <c r="E15" s="136">
        <v>366</v>
      </c>
      <c r="F15" s="123"/>
    </row>
    <row r="16" spans="1:30" ht="15.45" x14ac:dyDescent="0.4">
      <c r="A16" s="137" t="s">
        <v>172</v>
      </c>
      <c r="B16" s="134"/>
      <c r="C16" s="134"/>
      <c r="D16" s="134"/>
      <c r="E16" s="129">
        <v>15000</v>
      </c>
      <c r="F16" s="123"/>
    </row>
    <row r="17" spans="1:33" ht="15.45" x14ac:dyDescent="0.4">
      <c r="A17" s="137"/>
      <c r="B17" s="134"/>
      <c r="C17" s="134"/>
      <c r="D17" s="134"/>
      <c r="E17" s="136"/>
      <c r="F17" s="123"/>
    </row>
    <row r="18" spans="1:33" ht="15.45" x14ac:dyDescent="0.4">
      <c r="A18" s="126" t="s">
        <v>173</v>
      </c>
      <c r="B18" s="133"/>
      <c r="C18" s="133"/>
      <c r="D18" s="134"/>
      <c r="E18" s="129">
        <f>8745*3.2</f>
        <v>27984</v>
      </c>
      <c r="F18" s="130">
        <v>1</v>
      </c>
      <c r="H18" s="131">
        <f t="shared" ref="H18:H19" si="5">E18*F18</f>
        <v>27984</v>
      </c>
      <c r="J18" s="131">
        <f t="shared" ref="J18:J19" si="6">E18*(1+$J$2)^$J$3</f>
        <v>34046.81482076161</v>
      </c>
      <c r="K18" s="132">
        <v>28195.931013120007</v>
      </c>
      <c r="L18" s="132">
        <f>K18/8745</f>
        <v>3.2242345355197264</v>
      </c>
      <c r="AD18" s="138">
        <f>H18-(H18*D45)/2</f>
        <v>27984</v>
      </c>
    </row>
    <row r="19" spans="1:33" ht="15.45" x14ac:dyDescent="0.4">
      <c r="A19" s="126" t="s">
        <v>174</v>
      </c>
      <c r="B19" s="133"/>
      <c r="C19" s="133"/>
      <c r="D19" s="134"/>
      <c r="E19" s="129">
        <v>1650</v>
      </c>
      <c r="F19" s="130">
        <v>1</v>
      </c>
      <c r="H19" s="131">
        <f t="shared" si="5"/>
        <v>1650</v>
      </c>
      <c r="J19" s="131">
        <f t="shared" si="6"/>
        <v>2007.4772889600006</v>
      </c>
      <c r="K19" s="119">
        <v>1642.4814182400005</v>
      </c>
      <c r="AD19" s="138">
        <f>H19-H19*D46/2</f>
        <v>1650</v>
      </c>
    </row>
    <row r="20" spans="1:33" ht="15.45" x14ac:dyDescent="0.4">
      <c r="A20" s="126"/>
      <c r="B20" s="133"/>
      <c r="C20" s="133"/>
      <c r="D20" s="134"/>
      <c r="E20" s="129"/>
      <c r="F20" s="123"/>
      <c r="AD20" s="138"/>
    </row>
    <row r="21" spans="1:33" ht="15.45" x14ac:dyDescent="0.4">
      <c r="A21" s="137"/>
      <c r="B21" s="134"/>
      <c r="C21" s="134"/>
      <c r="D21" s="134"/>
      <c r="E21" s="139" t="s">
        <v>175</v>
      </c>
      <c r="F21" s="140" t="s">
        <v>194</v>
      </c>
      <c r="AD21" s="119" t="s">
        <v>176</v>
      </c>
    </row>
    <row r="22" spans="1:33" s="143" customFormat="1" ht="15.45" x14ac:dyDescent="0.4">
      <c r="A22" s="124" t="s">
        <v>177</v>
      </c>
      <c r="B22" s="135"/>
      <c r="C22" s="135"/>
      <c r="D22" s="135"/>
      <c r="E22" s="141">
        <f>SUM(H4:H19)</f>
        <v>265614</v>
      </c>
      <c r="F22" s="142">
        <f>E22/LAMB!$C$26</f>
        <v>121.09961240302044</v>
      </c>
      <c r="AD22" s="144">
        <f>SUM(AD4:AD19)</f>
        <v>135825</v>
      </c>
    </row>
    <row r="23" spans="1:33" x14ac:dyDescent="0.35">
      <c r="A23" s="121"/>
      <c r="B23" s="122"/>
      <c r="C23" s="122"/>
      <c r="D23" s="122"/>
      <c r="E23" s="145"/>
      <c r="F23" s="123"/>
    </row>
    <row r="24" spans="1:33" x14ac:dyDescent="0.35">
      <c r="A24" s="121" t="s">
        <v>215</v>
      </c>
      <c r="B24" s="122"/>
      <c r="C24" s="122"/>
      <c r="D24" s="122"/>
      <c r="E24" s="122"/>
      <c r="F24" s="123"/>
    </row>
    <row r="25" spans="1:33" x14ac:dyDescent="0.35">
      <c r="A25" s="121"/>
      <c r="B25" s="122"/>
      <c r="C25" s="122"/>
      <c r="D25" s="122"/>
      <c r="E25" s="122"/>
      <c r="F25" s="123"/>
    </row>
    <row r="26" spans="1:33" x14ac:dyDescent="0.35">
      <c r="A26" s="121"/>
      <c r="B26" s="122"/>
      <c r="C26" s="122"/>
      <c r="D26" s="122"/>
      <c r="E26" s="122"/>
      <c r="F26" s="146"/>
    </row>
    <row r="27" spans="1:33" ht="15.45" x14ac:dyDescent="0.4">
      <c r="A27" s="147" t="s">
        <v>178</v>
      </c>
      <c r="B27" s="148"/>
      <c r="C27" s="148"/>
      <c r="D27" s="148"/>
      <c r="E27" s="149"/>
      <c r="F27" s="123"/>
    </row>
    <row r="28" spans="1:33" x14ac:dyDescent="0.35">
      <c r="A28" s="121"/>
      <c r="B28" s="122"/>
      <c r="C28" s="122"/>
      <c r="D28" s="122"/>
      <c r="E28" s="122"/>
      <c r="F28" s="123"/>
    </row>
    <row r="29" spans="1:33" ht="30.9" x14ac:dyDescent="0.4">
      <c r="A29" s="124" t="s">
        <v>179</v>
      </c>
      <c r="B29" s="135"/>
      <c r="C29" s="135"/>
      <c r="D29" s="150" t="s">
        <v>180</v>
      </c>
      <c r="E29" s="125" t="s">
        <v>181</v>
      </c>
      <c r="F29" s="140" t="s">
        <v>194</v>
      </c>
    </row>
    <row r="30" spans="1:33" ht="17.25" customHeight="1" x14ac:dyDescent="0.4">
      <c r="A30" s="121" t="s">
        <v>157</v>
      </c>
      <c r="B30" s="122"/>
      <c r="C30" s="122"/>
      <c r="D30" s="151">
        <v>0.02</v>
      </c>
      <c r="E30" s="152">
        <f>D30*(H4+H5+H6+H7+H8)</f>
        <v>2883</v>
      </c>
      <c r="F30" s="153">
        <f>E30/LAMB!$C$26</f>
        <v>1.3144268847195855</v>
      </c>
    </row>
    <row r="31" spans="1:33" ht="15.45" x14ac:dyDescent="0.4">
      <c r="A31" s="121" t="s">
        <v>165</v>
      </c>
      <c r="B31" s="122"/>
      <c r="C31" s="122"/>
      <c r="D31" s="151">
        <v>0.02</v>
      </c>
      <c r="E31" s="152">
        <f>D31*SUM(H10:H13)</f>
        <v>1836.6000000000001</v>
      </c>
      <c r="F31" s="153">
        <f>E31/LAMB!$C$26</f>
        <v>0.83734873967256007</v>
      </c>
      <c r="AF31" s="154">
        <f>SUM(F30,F32)</f>
        <v>1.5695980393640037</v>
      </c>
      <c r="AG31" s="119" t="s">
        <v>182</v>
      </c>
    </row>
    <row r="32" spans="1:33" ht="15.45" x14ac:dyDescent="0.4">
      <c r="A32" s="121" t="s">
        <v>184</v>
      </c>
      <c r="B32" s="122"/>
      <c r="C32" s="122"/>
      <c r="D32" s="151">
        <v>0.02</v>
      </c>
      <c r="E32" s="152">
        <f>D32*E18</f>
        <v>559.68000000000006</v>
      </c>
      <c r="F32" s="153">
        <f>E32/LAMB!$C$26</f>
        <v>0.2551711546444182</v>
      </c>
      <c r="AF32" s="154">
        <f>F31+F33</f>
        <v>0.85239420869640548</v>
      </c>
      <c r="AG32" s="119" t="s">
        <v>183</v>
      </c>
    </row>
    <row r="33" spans="1:33" ht="15.45" x14ac:dyDescent="0.4">
      <c r="A33" s="121" t="s">
        <v>185</v>
      </c>
      <c r="B33" s="122"/>
      <c r="C33" s="122"/>
      <c r="D33" s="151">
        <v>0.02</v>
      </c>
      <c r="E33" s="152">
        <f>D33*H19</f>
        <v>33</v>
      </c>
      <c r="F33" s="153">
        <f>E33/LAMB!$C$26</f>
        <v>1.5045469023845411E-2</v>
      </c>
    </row>
    <row r="34" spans="1:33" ht="15.45" x14ac:dyDescent="0.4">
      <c r="A34" s="121"/>
      <c r="B34" s="122"/>
      <c r="C34" s="122"/>
      <c r="D34" s="155"/>
      <c r="E34" s="135"/>
      <c r="F34" s="156"/>
    </row>
    <row r="35" spans="1:33" ht="15.45" x14ac:dyDescent="0.4">
      <c r="A35" s="124" t="s">
        <v>186</v>
      </c>
      <c r="B35" s="135"/>
      <c r="C35" s="135"/>
      <c r="D35" s="155"/>
      <c r="E35" s="135"/>
      <c r="F35" s="156"/>
    </row>
    <row r="36" spans="1:33" ht="15.45" x14ac:dyDescent="0.4">
      <c r="A36" s="124" t="s">
        <v>187</v>
      </c>
      <c r="B36" s="135"/>
      <c r="C36" s="135"/>
      <c r="D36" s="125" t="s">
        <v>188</v>
      </c>
      <c r="E36" s="135"/>
      <c r="F36" s="156"/>
    </row>
    <row r="37" spans="1:33" ht="15.45" x14ac:dyDescent="0.4">
      <c r="A37" s="121" t="s">
        <v>157</v>
      </c>
      <c r="B37" s="122"/>
      <c r="C37" s="122"/>
      <c r="D37" s="157">
        <v>20</v>
      </c>
      <c r="E37" s="152">
        <f>(SUM(H4:H8)-(D43*SUM(H4:H8)))/D37</f>
        <v>6486.75</v>
      </c>
      <c r="F37" s="153">
        <f>E37/LAMB!$C$26</f>
        <v>2.9574604906190674</v>
      </c>
    </row>
    <row r="38" spans="1:33" ht="15.45" x14ac:dyDescent="0.4">
      <c r="A38" s="121" t="s">
        <v>165</v>
      </c>
      <c r="B38" s="122"/>
      <c r="C38" s="122"/>
      <c r="D38" s="157">
        <v>15</v>
      </c>
      <c r="E38" s="152">
        <f>(SUM(H10:H13)-(SUM(H10:H13)*D44))/D38</f>
        <v>5509.8</v>
      </c>
      <c r="F38" s="153">
        <f>E38/LAMB!$C$26</f>
        <v>2.5120462190176802</v>
      </c>
      <c r="AF38" s="154">
        <f>SUM(F37,F39)</f>
        <v>3.4678027999079037</v>
      </c>
      <c r="AG38" s="119" t="s">
        <v>182</v>
      </c>
    </row>
    <row r="39" spans="1:33" ht="15.45" x14ac:dyDescent="0.4">
      <c r="A39" s="121" t="s">
        <v>184</v>
      </c>
      <c r="B39" s="122"/>
      <c r="C39" s="122"/>
      <c r="D39" s="157">
        <v>25</v>
      </c>
      <c r="E39" s="152">
        <f>(H18-H18*D45)/D39</f>
        <v>1119.3599999999999</v>
      </c>
      <c r="F39" s="153">
        <f>E39/LAMB!$C$26</f>
        <v>0.51034230928883628</v>
      </c>
      <c r="AF39" s="154">
        <f>F38+F40</f>
        <v>2.5496598915772939</v>
      </c>
      <c r="AG39" s="119" t="s">
        <v>183</v>
      </c>
    </row>
    <row r="40" spans="1:33" ht="15.45" x14ac:dyDescent="0.4">
      <c r="A40" s="121" t="s">
        <v>185</v>
      </c>
      <c r="B40" s="122"/>
      <c r="C40" s="122"/>
      <c r="D40" s="157">
        <v>20</v>
      </c>
      <c r="E40" s="152">
        <f>(H19-H19*D46)/D40</f>
        <v>82.5</v>
      </c>
      <c r="F40" s="153">
        <f>E40/LAMB!$C$26</f>
        <v>3.7613672559613523E-2</v>
      </c>
    </row>
    <row r="41" spans="1:33" ht="15.45" x14ac:dyDescent="0.4">
      <c r="A41" s="121"/>
      <c r="B41" s="122"/>
      <c r="C41" s="122"/>
      <c r="D41" s="155"/>
      <c r="E41" s="152">
        <f>SUM(E37:E40)</f>
        <v>13198.41</v>
      </c>
      <c r="F41" s="153">
        <f>E41/LAMB!$C$26</f>
        <v>6.0174626914851972</v>
      </c>
    </row>
    <row r="42" spans="1:33" ht="15.45" x14ac:dyDescent="0.4">
      <c r="A42" s="124" t="s">
        <v>189</v>
      </c>
      <c r="B42" s="135"/>
      <c r="C42" s="135"/>
      <c r="D42" s="125" t="s">
        <v>190</v>
      </c>
      <c r="E42" s="135"/>
      <c r="F42" s="156"/>
    </row>
    <row r="43" spans="1:33" ht="15.45" x14ac:dyDescent="0.4">
      <c r="A43" s="121" t="s">
        <v>157</v>
      </c>
      <c r="B43" s="122"/>
      <c r="C43" s="122"/>
      <c r="D43" s="151">
        <v>0.1</v>
      </c>
      <c r="E43" s="135"/>
      <c r="F43" s="156"/>
    </row>
    <row r="44" spans="1:33" ht="15.45" x14ac:dyDescent="0.4">
      <c r="A44" s="121" t="s">
        <v>165</v>
      </c>
      <c r="B44" s="122"/>
      <c r="C44" s="122"/>
      <c r="D44" s="151">
        <v>0.1</v>
      </c>
      <c r="E44" s="135"/>
      <c r="F44" s="156"/>
    </row>
    <row r="45" spans="1:33" ht="15.45" x14ac:dyDescent="0.4">
      <c r="A45" s="121" t="s">
        <v>184</v>
      </c>
      <c r="B45" s="122"/>
      <c r="C45" s="122"/>
      <c r="D45" s="151">
        <v>0</v>
      </c>
      <c r="E45" s="135"/>
      <c r="F45" s="156"/>
    </row>
    <row r="46" spans="1:33" ht="15.45" x14ac:dyDescent="0.4">
      <c r="A46" s="121" t="s">
        <v>185</v>
      </c>
      <c r="B46" s="122"/>
      <c r="C46" s="122"/>
      <c r="D46" s="151">
        <v>0</v>
      </c>
      <c r="E46" s="135"/>
      <c r="F46" s="156"/>
    </row>
    <row r="47" spans="1:33" ht="15.45" x14ac:dyDescent="0.4">
      <c r="A47" s="121"/>
      <c r="B47" s="122"/>
      <c r="C47" s="122"/>
      <c r="D47" s="155"/>
      <c r="E47" s="135"/>
      <c r="F47" s="156"/>
    </row>
    <row r="48" spans="1:33" ht="15.45" x14ac:dyDescent="0.4">
      <c r="A48" s="121"/>
      <c r="B48" s="122"/>
      <c r="C48" s="122"/>
      <c r="D48" s="125" t="s">
        <v>19</v>
      </c>
      <c r="E48" s="135"/>
      <c r="F48" s="156"/>
    </row>
    <row r="49" spans="1:6" ht="15.45" x14ac:dyDescent="0.4">
      <c r="A49" s="124" t="s">
        <v>191</v>
      </c>
      <c r="B49" s="135"/>
      <c r="C49" s="135"/>
      <c r="D49" s="151">
        <v>0.06</v>
      </c>
      <c r="E49" s="158">
        <f>AD22*D49</f>
        <v>8149.5</v>
      </c>
      <c r="F49" s="153">
        <f>E49/LAMB!$C$26</f>
        <v>3.7155469639341869</v>
      </c>
    </row>
    <row r="50" spans="1:6" ht="15.45" x14ac:dyDescent="0.4">
      <c r="A50" s="121"/>
      <c r="B50" s="122"/>
      <c r="C50" s="122"/>
      <c r="D50" s="155"/>
      <c r="E50" s="135"/>
      <c r="F50" s="156"/>
    </row>
    <row r="51" spans="1:6" ht="15.45" x14ac:dyDescent="0.4">
      <c r="A51" s="124" t="s">
        <v>192</v>
      </c>
      <c r="B51" s="135"/>
      <c r="C51" s="135"/>
      <c r="D51" s="125" t="s">
        <v>193</v>
      </c>
      <c r="E51" s="135"/>
      <c r="F51" s="156"/>
    </row>
    <row r="52" spans="1:6" ht="15.45" x14ac:dyDescent="0.4">
      <c r="A52" s="121" t="s">
        <v>157</v>
      </c>
      <c r="B52" s="122"/>
      <c r="C52" s="122"/>
      <c r="D52" s="159">
        <v>4.0000000000000001E-3</v>
      </c>
      <c r="E52" s="158">
        <f>SUM(H4:H8)*D52</f>
        <v>576.6</v>
      </c>
      <c r="F52" s="153">
        <f>E52/LAMB!$C$26</f>
        <v>0.26288537694391712</v>
      </c>
    </row>
    <row r="53" spans="1:6" ht="15.45" x14ac:dyDescent="0.4">
      <c r="A53" s="160" t="s">
        <v>165</v>
      </c>
      <c r="B53" s="161"/>
      <c r="C53" s="161"/>
      <c r="D53" s="162">
        <v>4.0000000000000001E-3</v>
      </c>
      <c r="E53" s="163">
        <f>SUM(H10:H13)*D53</f>
        <v>367.32</v>
      </c>
      <c r="F53" s="164">
        <f>E53/LAMB!$C$26</f>
        <v>0.167469747934512</v>
      </c>
    </row>
    <row r="55" spans="1:6" ht="15.45" x14ac:dyDescent="0.4">
      <c r="A55" s="143" t="s">
        <v>239</v>
      </c>
    </row>
  </sheetData>
  <sheetProtection algorithmName="SHA-512" hashValue="EAjNYvmi+GyhENcX7HRoU8+c0iay7ezy4mT5k8lxUhmJNYeJwbrh7VzLxmO2R+T4eSgjLhaT4LiyVyqTJpAhjQ==" saltValue="U0ZRq3OIJpIiH9wyoiRoPQ==" spinCount="100000" sheet="1" objects="1" scenarios="1"/>
  <pageMargins left="0.70866141732283472" right="0.70866141732283472" top="0.74803149606299213" bottom="0.74803149606299213" header="0.31496062992125984" footer="0.31496062992125984"/>
  <pageSetup scale="5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42F08D5C4194AB3AA6AD98986A4CA" ma:contentTypeVersion="53" ma:contentTypeDescription="Create a new document." ma:contentTypeScope="" ma:versionID="aaca7cfefa3a00f57e9f32d290730bc9">
  <xsd:schema xmlns:xsd="http://www.w3.org/2001/XMLSchema" xmlns:xs="http://www.w3.org/2001/XMLSchema" xmlns:p="http://schemas.microsoft.com/office/2006/metadata/properties" xmlns:ns2="9d38d736-0ce9-4dad-a921-92d39cb0d1f8" xmlns:ns3="a0633713-7183-4e0c-a7f3-9aefb849a633" targetNamespace="http://schemas.microsoft.com/office/2006/metadata/properties" ma:root="true" ma:fieldsID="d5eb50a0df51c90da3c29e772ac3ef45" ns2:_="" ns3:_="">
    <xsd:import namespace="9d38d736-0ce9-4dad-a921-92d39cb0d1f8"/>
    <xsd:import namespace="a0633713-7183-4e0c-a7f3-9aefb849a6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d736-0ce9-4dad-a921-92d39cb0d1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93fd262-f747-430a-9d72-58e750b831fb}" ma:internalName="TaxCatchAll" ma:showField="CatchAllData" ma:web="9d38d736-0ce9-4dad-a921-92d39cb0d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3713-7183-4e0c-a7f3-9aefb849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33713-7183-4e0c-a7f3-9aefb849a633">
      <Terms xmlns="http://schemas.microsoft.com/office/infopath/2007/PartnerControls"/>
    </lcf76f155ced4ddcb4097134ff3c332f>
    <TaxCatchAll xmlns="9d38d736-0ce9-4dad-a921-92d39cb0d1f8" xsi:nil="true"/>
  </documentManagement>
</p:properties>
</file>

<file path=customXml/itemProps1.xml><?xml version="1.0" encoding="utf-8"?>
<ds:datastoreItem xmlns:ds="http://schemas.openxmlformats.org/officeDocument/2006/customXml" ds:itemID="{86E7B20A-B638-40A2-8B42-7AA1867365CA}"/>
</file>

<file path=customXml/itemProps2.xml><?xml version="1.0" encoding="utf-8"?>
<ds:datastoreItem xmlns:ds="http://schemas.openxmlformats.org/officeDocument/2006/customXml" ds:itemID="{25BFE6C8-3D80-414D-8E5C-DB15F4BC4E38}"/>
</file>

<file path=customXml/itemProps3.xml><?xml version="1.0" encoding="utf-8"?>
<ds:datastoreItem xmlns:ds="http://schemas.openxmlformats.org/officeDocument/2006/customXml" ds:itemID="{147CD2D1-E596-4C70-A1C5-859001AB2707}"/>
</file>

<file path=customXml/itemProps4.xml><?xml version="1.0" encoding="utf-8"?>
<ds:datastoreItem xmlns:ds="http://schemas.openxmlformats.org/officeDocument/2006/customXml" ds:itemID="{19138296-3AAE-4489-8199-C74B316DDA4C}"/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LAMB</vt:lpstr>
      <vt:lpstr>CapitalInvestment</vt:lpstr>
      <vt:lpstr>CapitalInvestment!_ftn2</vt:lpstr>
      <vt:lpstr>CapitalInvestment!_ftn3</vt:lpstr>
      <vt:lpstr>CapitalInvestment!_ftnref1</vt:lpstr>
      <vt:lpstr>CapitalInvestment!_ftnref2</vt:lpstr>
      <vt:lpstr>CapitalInvestment!_ftnref3</vt:lpstr>
      <vt:lpstr>Criteria</vt:lpstr>
      <vt:lpstr>Database</vt:lpstr>
      <vt:lpstr>LAMBC1</vt:lpstr>
      <vt:lpstr>CapitalInvestment!Print_Area</vt:lpstr>
      <vt:lpstr>LAMB!Print_Area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Molenhuis, John (OMAFRA)</dc:creator>
  <cp:lastModifiedBy>Molenhuis, John (OMAFA)</cp:lastModifiedBy>
  <cp:lastPrinted>2024-05-29T20:14:20Z</cp:lastPrinted>
  <dcterms:created xsi:type="dcterms:W3CDTF">2018-05-28T20:00:19Z</dcterms:created>
  <dcterms:modified xsi:type="dcterms:W3CDTF">2024-08-23T15:46:46Z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0x01010043842F08D5C4194AB3AA6AD98986A4CA</vt:lpwstr>
  </property>
</Properties>
</file>