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codeName="ThisWorkbook"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livestock/Sheep/2023/"/>
    </mc:Choice>
  </mc:AlternateContent>
  <xr:revisionPtr revIDLastSave="16" documentId="8_{05ED3F94-4E22-4376-B95C-FFB9C247C120}" xr6:coauthVersionLast="47" xr6:coauthVersionMax="47" xr10:uidLastSave="{D04413F4-4DDD-45A6-AF03-D4AE6A1DD183}"/>
  <bookViews>
    <workbookView xWindow="-103" yWindow="-103" windowWidth="22149" windowHeight="11949" xr2:uid="{00000000-000D-0000-FFFF-FFFF00000000}"/>
  </bookViews>
  <sheets>
    <sheet name="SHEEPF" sheetId="1" r:id="rId1"/>
    <sheet name="Notes" sheetId="4" state="hidden" r:id="rId2"/>
    <sheet name="Costs" sheetId="5" state="hidden" r:id="rId3"/>
    <sheet name="CapitalInvestment"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0">#REF!</definedName>
    <definedName name="\a">#REF!</definedName>
    <definedName name="\e">#REF!</definedName>
    <definedName name="\h">#REF!</definedName>
    <definedName name="\m">#REF!</definedName>
    <definedName name="\n">#REF!</definedName>
    <definedName name="\p">#REF!</definedName>
    <definedName name="\s">#REF!</definedName>
    <definedName name="\t">#REF!</definedName>
    <definedName name="\u">#REF!</definedName>
    <definedName name="\z">#REF!</definedName>
    <definedName name="_DUD7">#REF!</definedName>
    <definedName name="_ENT1">#REF!</definedName>
    <definedName name="_ENT2">#REF!</definedName>
    <definedName name="_ENT3">#REF!</definedName>
    <definedName name="_ENT4">#REF!</definedName>
    <definedName name="_ENT5">#REF!</definedName>
    <definedName name="_ENT6">#REF!</definedName>
    <definedName name="_ENT7">#REF!</definedName>
    <definedName name="_ENT8">#REF!</definedName>
    <definedName name="_ftn1" localSheetId="3">CapitalInvestment!$A$24</definedName>
    <definedName name="_ftn2" localSheetId="3">CapitalInvestment!$A$25</definedName>
    <definedName name="_ftn3" localSheetId="3">CapitalInvestment!$A$26</definedName>
    <definedName name="_ftnref1" localSheetId="3">CapitalInvestment!$A$4</definedName>
    <definedName name="_ftnref2" localSheetId="3">CapitalInvestment!$A$6</definedName>
    <definedName name="_ftnref3" localSheetId="3">CapitalInvestment!$A$13</definedName>
    <definedName name="_HAY1">[1]Hay!$A$1:$K$159</definedName>
    <definedName name="_Key1" hidden="1">#REF!</definedName>
    <definedName name="_Order1" hidden="1">255</definedName>
    <definedName name="_Parse_In" hidden="1">#REF!</definedName>
    <definedName name="_Parse_Out" hidden="1">#REF!</definedName>
    <definedName name="_Regression_Int" hidden="1">1</definedName>
    <definedName name="_Sort" hidden="1">#REF!</definedName>
    <definedName name="_Table2_In1" hidden="1">#REF!</definedName>
    <definedName name="_Table2_In2" hidden="1">#REF!</definedName>
    <definedName name="_Table2_Out" hidden="1">#REF!</definedName>
    <definedName name="_XB1">#REF!</definedName>
    <definedName name="_XB10">#REF!</definedName>
    <definedName name="_XB11">#REF!</definedName>
    <definedName name="_XB12">#REF!</definedName>
    <definedName name="_XB2">#REF!</definedName>
    <definedName name="_XB3">#REF!</definedName>
    <definedName name="_XB4">#REF!</definedName>
    <definedName name="_XB5">#REF!</definedName>
    <definedName name="_XB6">#REF!</definedName>
    <definedName name="_XB7">#REF!</definedName>
    <definedName name="_XB8">#REF!</definedName>
    <definedName name="_XB9">#REF!</definedName>
    <definedName name="_XBC1">#REF!</definedName>
    <definedName name="_XBC10">#REF!</definedName>
    <definedName name="_XBC11">#REF!</definedName>
    <definedName name="_XBC12">#REF!</definedName>
    <definedName name="_XBC2">#REF!</definedName>
    <definedName name="_XBC3">#REF!</definedName>
    <definedName name="_XBC4">#REF!</definedName>
    <definedName name="_XBC5">#REF!</definedName>
    <definedName name="_XBC6">#REF!</definedName>
    <definedName name="_XBC7">#REF!</definedName>
    <definedName name="_XBC8">#REF!</definedName>
    <definedName name="_XBC9">#REF!</definedName>
    <definedName name="ALLO">#REF!</definedName>
    <definedName name="ALLOAC">#REF!</definedName>
    <definedName name="ALLOAC2">#REF!</definedName>
    <definedName name="ALLOAC3">#REF!</definedName>
    <definedName name="ALLOAC4">#REF!</definedName>
    <definedName name="ALLOAC5">#REF!</definedName>
    <definedName name="ALLOAC6">#REF!</definedName>
    <definedName name="ALLOAC7">#REF!</definedName>
    <definedName name="ALLOAC8">#REF!</definedName>
    <definedName name="ALLOACEND">#REF!</definedName>
    <definedName name="ALLOALL">#REF!</definedName>
    <definedName name="ALLOENTER">#REF!</definedName>
    <definedName name="ALLOREC">#REF!</definedName>
    <definedName name="ALLOTOTAL">#REF!</definedName>
    <definedName name="ALTERNATE">#REF!</definedName>
    <definedName name="AMARK">#REF!</definedName>
    <definedName name="ANALNAME">#REF!</definedName>
    <definedName name="ASSIGN">#REF!</definedName>
    <definedName name="BACK">#REF!</definedName>
    <definedName name="BARLEY1">#REF!</definedName>
    <definedName name="BEARDRV">#REF!</definedName>
    <definedName name="BRINGIN">#REF!</definedName>
    <definedName name="BRINGINALL">#REF!</definedName>
    <definedName name="CATTLE">#REF!</definedName>
    <definedName name="CHOICES">#REF!</definedName>
    <definedName name="COLE">#REF!</definedName>
    <definedName name="CORN1">[2]CORN!$A$1:$K$159</definedName>
    <definedName name="CORNER">#REF!</definedName>
    <definedName name="CORR">#REF!</definedName>
    <definedName name="COUNTER">#REF!</definedName>
    <definedName name="COUNTER2">#REF!</definedName>
    <definedName name="CRIT">#REF!</definedName>
    <definedName name="_xlnm.Criteria">SHEEPF!$AU$57:$AU$58</definedName>
    <definedName name="Criteria_MI">#REF!</definedName>
    <definedName name="CROPS">#REF!</definedName>
    <definedName name="_xlnm.Database">SHEEPF!$AQ$42:$BC$42</definedName>
    <definedName name="Database_MI">#REF!</definedName>
    <definedName name="DCHECK">#REF!</definedName>
    <definedName name="DCNT">#REF!</definedName>
    <definedName name="DEFAULT">#REF!</definedName>
    <definedName name="DEPT1">#REF!</definedName>
    <definedName name="DGOAT1">[3]DGOAT!$A$1:$K$300</definedName>
    <definedName name="DHEIFER1">[4]DHEIFER!$A$1:$K$200</definedName>
    <definedName name="DRIVES">#REF!</definedName>
    <definedName name="E_1">#REF!</definedName>
    <definedName name="ECHECK">#REF!</definedName>
    <definedName name="ENTERPRISE">#REF!</definedName>
    <definedName name="ENTNAME">#REF!</definedName>
    <definedName name="ENTNO">#REF!</definedName>
    <definedName name="ENTS">#REF!</definedName>
    <definedName name="ERASE">#REF!</definedName>
    <definedName name="ERRMSG">#REF!</definedName>
    <definedName name="ESCROUTE">#REF!</definedName>
    <definedName name="EVERGREEN">[5]turkey!$AC$6630:$AE$6634</definedName>
    <definedName name="EXCLUDE">#REF!</definedName>
    <definedName name="EXPORT">#REF!</definedName>
    <definedName name="FARM">#REF!</definedName>
    <definedName name="FARMNAME">#REF!</definedName>
    <definedName name="FIELD">#REF!</definedName>
    <definedName name="FILE_EXT">#REF!</definedName>
    <definedName name="FILE_PATH">#REF!</definedName>
    <definedName name="FILEOPS">#REF!</definedName>
    <definedName name="FNAME">#REF!</definedName>
    <definedName name="FORAGE">#REF!</definedName>
    <definedName name="FORMAT">#REF!</definedName>
    <definedName name="FRUIT">#REF!</definedName>
    <definedName name="GAFFE10">#REF!</definedName>
    <definedName name="GAFFE2">#REF!</definedName>
    <definedName name="GAFFE3">#REF!</definedName>
    <definedName name="GAFFE4">#REF!</definedName>
    <definedName name="GAFFE5">#REF!</definedName>
    <definedName name="GAFFE6">#REF!</definedName>
    <definedName name="GAFFE7">#REF!</definedName>
    <definedName name="GAFFE8">#REF!</definedName>
    <definedName name="GAFFE9">#REF!</definedName>
    <definedName name="GFRUIT">#REF!</definedName>
    <definedName name="GOATS">#REF!</definedName>
    <definedName name="GRAIN">#REF!</definedName>
    <definedName name="GRAPES">[5]turkey!$AC$6593:$AG$6597</definedName>
    <definedName name="HELP">#REF!</definedName>
    <definedName name="HORT">#REF!</definedName>
    <definedName name="ID">#REF!</definedName>
    <definedName name="IFF">#REF!</definedName>
    <definedName name="INPUT">#REF!</definedName>
    <definedName name="JUNK">#REF!</definedName>
    <definedName name="KEY">#REF!</definedName>
    <definedName name="KEYLIST">#REF!</definedName>
    <definedName name="LAMBC1">[6]LAMBFIN!$A$1:$K$300</definedName>
    <definedName name="LAMBO1">[7]LAMBO!$A$1:$K$300</definedName>
    <definedName name="LASTCELL">#REF!</definedName>
    <definedName name="LAYER1">[8]LAYER!$A$1:$K$300</definedName>
    <definedName name="LCNT">#REF!</definedName>
    <definedName name="LCOUNT">#REF!</definedName>
    <definedName name="LINE">#REF!</definedName>
    <definedName name="LININ">#REF!</definedName>
    <definedName name="LIVESTOCK">#REF!</definedName>
    <definedName name="LOAN1">#REF!</definedName>
    <definedName name="LOGO">#REF!</definedName>
    <definedName name="MACROBLOCK">#REF!</definedName>
    <definedName name="MARKER1">#REF!</definedName>
    <definedName name="MENUBLOCK">#REF!</definedName>
    <definedName name="MESSAGE">#REF!</definedName>
    <definedName name="MGOAT1">#REF!</definedName>
    <definedName name="NAME">#REF!</definedName>
    <definedName name="NO">#REF!</definedName>
    <definedName name="NOREC">#REF!</definedName>
    <definedName name="NUMBER">#REF!</definedName>
    <definedName name="NUR">[5]turkey!$AC$6564:$AG$6571</definedName>
    <definedName name="OATS1">#REF!</definedName>
    <definedName name="OILS">#REF!</definedName>
    <definedName name="OTHER">#REF!</definedName>
    <definedName name="OTHERLVSTK">#REF!</definedName>
    <definedName name="OTHERVEG">#REF!</definedName>
    <definedName name="OTHRFRT">#REF!</definedName>
    <definedName name="P_ALLO">#REF!</definedName>
    <definedName name="P_DEP_N">#REF!</definedName>
    <definedName name="P_LOANS">#REF!</definedName>
    <definedName name="P_RANGE">#REF!</definedName>
    <definedName name="P_TRANS">#REF!</definedName>
    <definedName name="P_WFC">#REF!</definedName>
    <definedName name="P_WFS">#REF!</definedName>
    <definedName name="PASSWORD">#REF!</definedName>
    <definedName name="PASTUR1">[9]PASTUR!$A$1:$K$159</definedName>
    <definedName name="PCHECK">#REF!</definedName>
    <definedName name="PEABEAN">#REF!</definedName>
    <definedName name="PERCENT">#REF!</definedName>
    <definedName name="PIGS">#REF!</definedName>
    <definedName name="POULTRY">#REF!</definedName>
    <definedName name="PREPARE">#REF!</definedName>
    <definedName name="PREPDATE">#REF!</definedName>
    <definedName name="PRINT">#REF!</definedName>
    <definedName name="_xlnm.Print_Area" localSheetId="3">CapitalInvestment!$A$1:$F$54</definedName>
    <definedName name="_xlnm.Print_Area" localSheetId="0">SHEEPF!$A$2:$I$278</definedName>
    <definedName name="_xlnm.Print_Area">SHEEPF!$B$517:$J$627</definedName>
    <definedName name="PRINT_AREA_MI">#REF!</definedName>
    <definedName name="PRINTALL">#REF!</definedName>
    <definedName name="PRINTENT">#REF!</definedName>
    <definedName name="PRINTMENU">#REF!</definedName>
    <definedName name="PRTCHOICE">#REF!</definedName>
    <definedName name="PULLET1">[10]PULLET!$A$1:$K$300</definedName>
    <definedName name="PULSES">#REF!</definedName>
    <definedName name="QCHOICE">#REF!</definedName>
    <definedName name="RECORD">#REF!</definedName>
    <definedName name="RET">#REF!</definedName>
    <definedName name="ROOT">#REF!</definedName>
    <definedName name="SAVE">#REF!</definedName>
    <definedName name="SAVE1">#REF!</definedName>
    <definedName name="SAVE2">#REF!</definedName>
    <definedName name="SCHOICE">#REF!</definedName>
    <definedName name="SELECT">#REF!</definedName>
    <definedName name="SELECTERR">#REF!</definedName>
    <definedName name="SELECTMSG">#REF!</definedName>
    <definedName name="SEND">#REF!</definedName>
    <definedName name="SEND2">#REF!</definedName>
    <definedName name="SHADE">[5]turkey!$AC$6636:$AD$6640</definedName>
    <definedName name="SHEEP">#REF!</definedName>
    <definedName name="SHEEPF1">SHEEPF!$A$2:$L$398</definedName>
    <definedName name="SHRUB">[5]turkey!$AC$6642:$AD$6646</definedName>
    <definedName name="SILAGE1">[11]SILAGE!$A$1:$K$159</definedName>
    <definedName name="STYPE">#REF!</definedName>
    <definedName name="SUBR">#REF!</definedName>
    <definedName name="SWHEAT1">#REF!</definedName>
    <definedName name="TCOUNT">#REF!</definedName>
    <definedName name="TFRUIT">#REF!</definedName>
    <definedName name="TIMES">#REF!</definedName>
    <definedName name="TMARK">#REF!</definedName>
    <definedName name="TO_CELL">#REF!</definedName>
    <definedName name="TRANS">#REF!</definedName>
    <definedName name="TRANSF">#REF!</definedName>
    <definedName name="TREC">#REF!</definedName>
    <definedName name="TURKEY1">[5]turkey!$A$1:$K$300</definedName>
    <definedName name="UPDATE">#REF!</definedName>
    <definedName name="VEAL1">#REF!</definedName>
    <definedName name="VEG">#REF!</definedName>
    <definedName name="VINE">[9]PASTUR!$AC$7921</definedName>
    <definedName name="WFARMC">#REF!</definedName>
    <definedName name="WFARMS">#REF!</definedName>
    <definedName name="WMARK">#REF!</definedName>
    <definedName name="WORKDRV">#REF!</definedName>
    <definedName name="WORKNOS">#REF!</definedName>
    <definedName name="WORKNUMS">#REF!</definedName>
    <definedName name="WORKON">#REF!</definedName>
    <definedName name="WWHEAT1">#REF!</definedName>
    <definedName name="XCHOICE">#REF!</definedName>
    <definedName name="XDATA">#REF!</definedName>
    <definedName name="XNAME">#REF!</definedName>
    <definedName name="XSAVE">#REF!</definedName>
    <definedName name="XSAVE1">#REF!</definedName>
    <definedName name="XSAVE2">#REF!</definedName>
    <definedName name="Y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H44" i="1"/>
  <c r="AB45" i="1"/>
  <c r="AB48" i="1"/>
  <c r="F165" i="1" l="1"/>
  <c r="F166" i="1"/>
  <c r="E142" i="1"/>
  <c r="E143" i="1"/>
  <c r="E144" i="1"/>
  <c r="E145" i="1"/>
  <c r="E146" i="1"/>
  <c r="E147" i="1"/>
  <c r="E148" i="1"/>
  <c r="E149" i="1"/>
  <c r="E150" i="1"/>
  <c r="E151" i="1"/>
  <c r="E152" i="1"/>
  <c r="E153" i="1"/>
  <c r="E154" i="1"/>
  <c r="E155" i="1"/>
  <c r="E141" i="1"/>
  <c r="C20" i="1"/>
  <c r="C18" i="1"/>
  <c r="I27" i="4"/>
  <c r="H26" i="4"/>
  <c r="H25" i="4"/>
  <c r="H24" i="4"/>
  <c r="H23" i="4"/>
  <c r="H22" i="4"/>
  <c r="H21" i="4"/>
  <c r="H20" i="4"/>
  <c r="H19" i="4"/>
  <c r="H18" i="4"/>
  <c r="H17" i="4"/>
  <c r="G27" i="4"/>
  <c r="E27" i="4"/>
  <c r="D27" i="4"/>
  <c r="C27" i="4"/>
  <c r="S18" i="5"/>
  <c r="O18" i="5"/>
  <c r="N18" i="5"/>
  <c r="M18" i="5"/>
  <c r="H27" i="4" l="1"/>
  <c r="AB149" i="1"/>
  <c r="H148" i="1" s="1"/>
  <c r="AB150" i="1"/>
  <c r="H149" i="1" s="1"/>
  <c r="AC149" i="1" s="1"/>
  <c r="I149" i="1" s="1"/>
  <c r="AB151" i="1"/>
  <c r="H150" i="1" s="1"/>
  <c r="AC150" i="1" s="1"/>
  <c r="I150" i="1" s="1"/>
  <c r="AB152" i="1"/>
  <c r="H151" i="1" s="1"/>
  <c r="AC151" i="1" s="1"/>
  <c r="I151" i="1" s="1"/>
  <c r="AB153" i="1"/>
  <c r="H152" i="1" s="1"/>
  <c r="AC152" i="1" s="1"/>
  <c r="I152" i="1" s="1"/>
  <c r="AB154" i="1"/>
  <c r="H153" i="1" s="1"/>
  <c r="AB155" i="1"/>
  <c r="H154" i="1" s="1"/>
  <c r="AB156" i="1"/>
  <c r="H155" i="1" s="1"/>
  <c r="AB144" i="1"/>
  <c r="H143" i="1" s="1"/>
  <c r="AC143" i="1" s="1"/>
  <c r="I143" i="1" s="1"/>
  <c r="AB145" i="1"/>
  <c r="H144" i="1" s="1"/>
  <c r="AC144" i="1" s="1"/>
  <c r="I144" i="1" s="1"/>
  <c r="AB146" i="1"/>
  <c r="H145" i="1" s="1"/>
  <c r="AC145" i="1" s="1"/>
  <c r="I145" i="1" s="1"/>
  <c r="AB147" i="1"/>
  <c r="H146" i="1" s="1"/>
  <c r="AC146" i="1" s="1"/>
  <c r="I146" i="1" s="1"/>
  <c r="AB148" i="1"/>
  <c r="H147" i="1" s="1"/>
  <c r="AB143" i="1"/>
  <c r="AB142" i="1"/>
  <c r="G143" i="1"/>
  <c r="G144" i="1"/>
  <c r="G145" i="1"/>
  <c r="G146" i="1"/>
  <c r="G147" i="1"/>
  <c r="G148" i="1"/>
  <c r="G149" i="1"/>
  <c r="G150" i="1"/>
  <c r="G151" i="1"/>
  <c r="G152"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78" i="1"/>
  <c r="G79" i="1"/>
  <c r="G80" i="1"/>
  <c r="G81" i="1"/>
  <c r="G82" i="1"/>
  <c r="G83" i="1"/>
  <c r="G84" i="1"/>
  <c r="G85" i="1"/>
  <c r="G86" i="1"/>
  <c r="G87" i="1"/>
  <c r="G88" i="1"/>
  <c r="G89" i="1"/>
  <c r="G90" i="1"/>
  <c r="G91" i="1"/>
  <c r="G92" i="1"/>
  <c r="G93" i="1"/>
  <c r="G94" i="1"/>
  <c r="G95" i="1"/>
  <c r="G96" i="1"/>
  <c r="G97" i="1"/>
  <c r="G98" i="1"/>
  <c r="G99" i="1"/>
  <c r="G100" i="1"/>
  <c r="G73" i="1"/>
  <c r="G74" i="1"/>
  <c r="G75" i="1"/>
  <c r="G76" i="1"/>
  <c r="G77" i="1"/>
  <c r="AB178" i="1" l="1"/>
  <c r="H196" i="1" s="1"/>
  <c r="E18" i="3" l="1"/>
  <c r="J18" i="3"/>
  <c r="L18" i="3"/>
  <c r="L6" i="3"/>
  <c r="J19" i="3"/>
  <c r="J11" i="3"/>
  <c r="J12" i="3"/>
  <c r="J13" i="3"/>
  <c r="J10" i="3"/>
  <c r="J7" i="3"/>
  <c r="J8" i="3"/>
  <c r="G153" i="1" l="1"/>
  <c r="G154" i="1"/>
  <c r="G136" i="1"/>
  <c r="G101" i="1"/>
  <c r="AB3" i="1" l="1"/>
  <c r="G155" i="1"/>
  <c r="G142" i="1"/>
  <c r="G141" i="1"/>
  <c r="G138" i="1"/>
  <c r="G137" i="1"/>
  <c r="G107" i="1"/>
  <c r="G106" i="1"/>
  <c r="G103" i="1"/>
  <c r="G102" i="1"/>
  <c r="G72" i="1"/>
  <c r="G71" i="1"/>
  <c r="G55" i="1"/>
  <c r="G56" i="1"/>
  <c r="G57" i="1"/>
  <c r="G58" i="1"/>
  <c r="G59" i="1"/>
  <c r="G60" i="1"/>
  <c r="G61" i="1"/>
  <c r="G62" i="1"/>
  <c r="G54" i="1"/>
  <c r="E20" i="1" l="1"/>
  <c r="G20" i="1" s="1"/>
  <c r="E18" i="1"/>
  <c r="G18" i="1" l="1"/>
  <c r="I162" i="1"/>
  <c r="H162" i="1" s="1"/>
  <c r="F204" i="1" l="1"/>
  <c r="AH207" i="1" l="1"/>
  <c r="AH202" i="1"/>
  <c r="AH198" i="1"/>
  <c r="AH197" i="1"/>
  <c r="AH193" i="1"/>
  <c r="F47" i="1"/>
  <c r="AB53" i="1" s="1"/>
  <c r="AB32" i="1"/>
  <c r="E38" i="1" s="1"/>
  <c r="AB33" i="1"/>
  <c r="F38" i="1" s="1"/>
  <c r="AB37" i="1"/>
  <c r="E39" i="1" s="1"/>
  <c r="AB38" i="1"/>
  <c r="F39" i="1" s="1"/>
  <c r="AB43" i="1"/>
  <c r="F40" i="1" s="1"/>
  <c r="E42" i="1"/>
  <c r="AB51" i="1" s="1"/>
  <c r="I42" i="1" s="1"/>
  <c r="B4" i="3"/>
  <c r="C4" i="3" s="1"/>
  <c r="H19" i="3"/>
  <c r="AD19" i="3" s="1"/>
  <c r="H18" i="3"/>
  <c r="E40" i="3" s="1"/>
  <c r="F40" i="3" s="1"/>
  <c r="H13" i="3"/>
  <c r="H12" i="3"/>
  <c r="H11" i="3"/>
  <c r="H10" i="3"/>
  <c r="H7" i="3"/>
  <c r="H8" i="3"/>
  <c r="C6" i="3"/>
  <c r="E6" i="3" s="1"/>
  <c r="J6" i="3" s="1"/>
  <c r="I181" i="1"/>
  <c r="H181" i="1" s="1"/>
  <c r="I178" i="1"/>
  <c r="H178" i="1" s="1"/>
  <c r="I177" i="1"/>
  <c r="H177" i="1" s="1"/>
  <c r="I176" i="1"/>
  <c r="H176" i="1" s="1"/>
  <c r="I169" i="1"/>
  <c r="H169" i="1" s="1"/>
  <c r="F168" i="1"/>
  <c r="I168" i="1" s="1"/>
  <c r="H168" i="1" s="1"/>
  <c r="F167" i="1"/>
  <c r="I167" i="1" s="1"/>
  <c r="H167" i="1" s="1"/>
  <c r="I165" i="1"/>
  <c r="H165" i="1" s="1"/>
  <c r="AB198" i="1"/>
  <c r="H201" i="1" s="1"/>
  <c r="AB199" i="1" s="1"/>
  <c r="I201" i="1" s="1"/>
  <c r="AB196" i="1"/>
  <c r="H200" i="1" s="1"/>
  <c r="AB197" i="1" s="1"/>
  <c r="I200" i="1" s="1"/>
  <c r="AB194" i="1"/>
  <c r="H199" i="1" s="1"/>
  <c r="AB195" i="1" s="1"/>
  <c r="I199" i="1" s="1"/>
  <c r="AB176" i="1"/>
  <c r="E33" i="3"/>
  <c r="F33" i="3" s="1"/>
  <c r="D66" i="1"/>
  <c r="AB140" i="1"/>
  <c r="H66" i="1" s="1"/>
  <c r="AB141" i="1" s="1"/>
  <c r="I66" i="1" s="1"/>
  <c r="AB175" i="1"/>
  <c r="I193" i="1" s="1"/>
  <c r="AB202" i="1"/>
  <c r="I212" i="1" s="1"/>
  <c r="AB203" i="1"/>
  <c r="E213" i="1" s="1"/>
  <c r="AB205" i="1" s="1"/>
  <c r="I213" i="1" s="1"/>
  <c r="AB204" i="1" s="1"/>
  <c r="H213" i="1" s="1"/>
  <c r="AB206" i="1"/>
  <c r="E214" i="1" s="1"/>
  <c r="AB209" i="1"/>
  <c r="E215" i="1" s="1"/>
  <c r="AB212" i="1"/>
  <c r="E216" i="1" s="1"/>
  <c r="AB214" i="1" s="1"/>
  <c r="I216" i="1" s="1"/>
  <c r="AB213" i="1" s="1"/>
  <c r="H216" i="1" s="1"/>
  <c r="AB215" i="1"/>
  <c r="E217" i="1" s="1"/>
  <c r="AB217" i="1" s="1"/>
  <c r="I217" i="1" s="1"/>
  <c r="AB216" i="1" s="1"/>
  <c r="H217" i="1" s="1"/>
  <c r="AB218" i="1"/>
  <c r="E220" i="1" s="1"/>
  <c r="AB225" i="1"/>
  <c r="E229" i="1" s="1"/>
  <c r="AB228" i="1"/>
  <c r="E230" i="1" s="1"/>
  <c r="AB231" i="1"/>
  <c r="E231" i="1" s="1"/>
  <c r="AB234" i="1"/>
  <c r="E232" i="1" s="1"/>
  <c r="AB236" i="1" s="1"/>
  <c r="I232" i="1" s="1"/>
  <c r="AB235" i="1" s="1"/>
  <c r="H232" i="1" s="1"/>
  <c r="AB298" i="1"/>
  <c r="J195" i="1" s="1"/>
  <c r="AB297" i="1"/>
  <c r="J194" i="1" s="1"/>
  <c r="AB296" i="1"/>
  <c r="J193" i="1" s="1"/>
  <c r="AB11" i="1"/>
  <c r="I34" i="1" s="1"/>
  <c r="AB12" i="1"/>
  <c r="L33" i="1" s="1"/>
  <c r="AB54" i="1"/>
  <c r="I51" i="1" s="1"/>
  <c r="AB224" i="1"/>
  <c r="I228" i="1" s="1"/>
  <c r="H195" i="1" l="1"/>
  <c r="AB177" i="1" s="1"/>
  <c r="I195" i="1" s="1"/>
  <c r="E112" i="1"/>
  <c r="AB113" i="1" s="1"/>
  <c r="E113" i="1"/>
  <c r="AB114" i="1" s="1"/>
  <c r="E121" i="1"/>
  <c r="AB122" i="1" s="1"/>
  <c r="H121" i="1" s="1"/>
  <c r="AC121" i="1" s="1"/>
  <c r="I121" i="1" s="1"/>
  <c r="E129" i="1"/>
  <c r="AB130" i="1" s="1"/>
  <c r="H129" i="1" s="1"/>
  <c r="AC129" i="1" s="1"/>
  <c r="I129" i="1" s="1"/>
  <c r="E137" i="1"/>
  <c r="AB138" i="1" s="1"/>
  <c r="H137" i="1" s="1"/>
  <c r="E77" i="1"/>
  <c r="AB78" i="1" s="1"/>
  <c r="H77" i="1" s="1"/>
  <c r="AC77" i="1" s="1"/>
  <c r="I77" i="1" s="1"/>
  <c r="E85" i="1"/>
  <c r="AB86" i="1" s="1"/>
  <c r="H85" i="1" s="1"/>
  <c r="AC85" i="1" s="1"/>
  <c r="I85" i="1" s="1"/>
  <c r="E93" i="1"/>
  <c r="AB94" i="1" s="1"/>
  <c r="H93" i="1" s="1"/>
  <c r="AC93" i="1" s="1"/>
  <c r="I93" i="1" s="1"/>
  <c r="E101" i="1"/>
  <c r="AB102" i="1" s="1"/>
  <c r="H101" i="1" s="1"/>
  <c r="AC101" i="1" s="1"/>
  <c r="I101" i="1" s="1"/>
  <c r="E115" i="1"/>
  <c r="AB116" i="1" s="1"/>
  <c r="H115" i="1" s="1"/>
  <c r="AC115" i="1" s="1"/>
  <c r="I115" i="1" s="1"/>
  <c r="E123" i="1"/>
  <c r="AB124" i="1" s="1"/>
  <c r="H123" i="1" s="1"/>
  <c r="AC123" i="1" s="1"/>
  <c r="I123" i="1" s="1"/>
  <c r="E106" i="1"/>
  <c r="AB107" i="1" s="1"/>
  <c r="H106" i="1" s="1"/>
  <c r="AC106" i="1" s="1"/>
  <c r="I106" i="1" s="1"/>
  <c r="E79" i="1"/>
  <c r="AB80" i="1" s="1"/>
  <c r="H79" i="1" s="1"/>
  <c r="AC79" i="1" s="1"/>
  <c r="I79" i="1" s="1"/>
  <c r="E95" i="1"/>
  <c r="AB96" i="1" s="1"/>
  <c r="H95" i="1" s="1"/>
  <c r="AC95" i="1" s="1"/>
  <c r="I95" i="1" s="1"/>
  <c r="E91" i="1"/>
  <c r="AB92" i="1" s="1"/>
  <c r="H91" i="1" s="1"/>
  <c r="AC91" i="1" s="1"/>
  <c r="I91" i="1" s="1"/>
  <c r="E84" i="1"/>
  <c r="AB85" i="1" s="1"/>
  <c r="H84" i="1" s="1"/>
  <c r="AC84" i="1" s="1"/>
  <c r="I84" i="1" s="1"/>
  <c r="C19" i="1"/>
  <c r="E19" i="1" s="1"/>
  <c r="E114" i="1"/>
  <c r="AB115" i="1" s="1"/>
  <c r="E122" i="1"/>
  <c r="AB123" i="1" s="1"/>
  <c r="H122" i="1" s="1"/>
  <c r="AC122" i="1" s="1"/>
  <c r="I122" i="1" s="1"/>
  <c r="E130" i="1"/>
  <c r="AB131" i="1" s="1"/>
  <c r="H130" i="1" s="1"/>
  <c r="AC130" i="1" s="1"/>
  <c r="I130" i="1" s="1"/>
  <c r="E138" i="1"/>
  <c r="AB139" i="1" s="1"/>
  <c r="H138" i="1" s="1"/>
  <c r="E78" i="1"/>
  <c r="AB79" i="1" s="1"/>
  <c r="H78" i="1" s="1"/>
  <c r="AC78" i="1" s="1"/>
  <c r="I78" i="1" s="1"/>
  <c r="E86" i="1"/>
  <c r="AB87" i="1" s="1"/>
  <c r="H86" i="1" s="1"/>
  <c r="AC86" i="1" s="1"/>
  <c r="I86" i="1" s="1"/>
  <c r="E94" i="1"/>
  <c r="AB95" i="1" s="1"/>
  <c r="H94" i="1" s="1"/>
  <c r="AC94" i="1" s="1"/>
  <c r="I94" i="1" s="1"/>
  <c r="E102" i="1"/>
  <c r="AB103" i="1" s="1"/>
  <c r="H102" i="1" s="1"/>
  <c r="E131" i="1"/>
  <c r="AB132" i="1" s="1"/>
  <c r="H131" i="1" s="1"/>
  <c r="AC131" i="1" s="1"/>
  <c r="I131" i="1" s="1"/>
  <c r="E87" i="1"/>
  <c r="AB88" i="1" s="1"/>
  <c r="H87" i="1" s="1"/>
  <c r="AC87" i="1" s="1"/>
  <c r="I87" i="1" s="1"/>
  <c r="E103" i="1"/>
  <c r="AB104" i="1" s="1"/>
  <c r="H103" i="1" s="1"/>
  <c r="AC103" i="1" s="1"/>
  <c r="I103" i="1" s="1"/>
  <c r="E60" i="1"/>
  <c r="E128" i="1"/>
  <c r="AB129" i="1" s="1"/>
  <c r="H128" i="1" s="1"/>
  <c r="AC128" i="1" s="1"/>
  <c r="I128" i="1" s="1"/>
  <c r="E100" i="1"/>
  <c r="AB101" i="1" s="1"/>
  <c r="H100" i="1" s="1"/>
  <c r="AC100" i="1" s="1"/>
  <c r="I100" i="1" s="1"/>
  <c r="E107" i="1"/>
  <c r="AB108" i="1" s="1"/>
  <c r="H107" i="1" s="1"/>
  <c r="AC107" i="1" s="1"/>
  <c r="I107" i="1" s="1"/>
  <c r="E120" i="1"/>
  <c r="AB121" i="1" s="1"/>
  <c r="E92" i="1"/>
  <c r="AB93" i="1" s="1"/>
  <c r="H92" i="1" s="1"/>
  <c r="AC92" i="1" s="1"/>
  <c r="I92" i="1" s="1"/>
  <c r="E108" i="1"/>
  <c r="AB109" i="1" s="1"/>
  <c r="H108" i="1" s="1"/>
  <c r="AC108" i="1" s="1"/>
  <c r="I108" i="1" s="1"/>
  <c r="E116" i="1"/>
  <c r="AB117" i="1" s="1"/>
  <c r="H116" i="1" s="1"/>
  <c r="AC116" i="1" s="1"/>
  <c r="I116" i="1" s="1"/>
  <c r="E124" i="1"/>
  <c r="AB125" i="1" s="1"/>
  <c r="E132" i="1"/>
  <c r="AB133" i="1" s="1"/>
  <c r="H132" i="1" s="1"/>
  <c r="AC132" i="1" s="1"/>
  <c r="I132" i="1" s="1"/>
  <c r="E72" i="1"/>
  <c r="AB73" i="1" s="1"/>
  <c r="H72" i="1" s="1"/>
  <c r="AC72" i="1" s="1"/>
  <c r="I72" i="1" s="1"/>
  <c r="E80" i="1"/>
  <c r="AB81" i="1" s="1"/>
  <c r="H80" i="1" s="1"/>
  <c r="AC80" i="1" s="1"/>
  <c r="I80" i="1" s="1"/>
  <c r="E88" i="1"/>
  <c r="AB89" i="1" s="1"/>
  <c r="H88" i="1" s="1"/>
  <c r="AC88" i="1" s="1"/>
  <c r="I88" i="1" s="1"/>
  <c r="E96" i="1"/>
  <c r="AB97" i="1" s="1"/>
  <c r="H96" i="1" s="1"/>
  <c r="AC96" i="1" s="1"/>
  <c r="I96" i="1" s="1"/>
  <c r="E71" i="1"/>
  <c r="AB72" i="1" s="1"/>
  <c r="H71" i="1" s="1"/>
  <c r="E109" i="1"/>
  <c r="AB110" i="1" s="1"/>
  <c r="H109" i="1" s="1"/>
  <c r="AC109" i="1" s="1"/>
  <c r="I109" i="1" s="1"/>
  <c r="E117" i="1"/>
  <c r="AB118" i="1" s="1"/>
  <c r="H117" i="1" s="1"/>
  <c r="AC117" i="1" s="1"/>
  <c r="I117" i="1" s="1"/>
  <c r="E125" i="1"/>
  <c r="AB126" i="1" s="1"/>
  <c r="H125" i="1" s="1"/>
  <c r="AC125" i="1" s="1"/>
  <c r="I125" i="1" s="1"/>
  <c r="E133" i="1"/>
  <c r="AB134" i="1" s="1"/>
  <c r="H133" i="1" s="1"/>
  <c r="AC133" i="1" s="1"/>
  <c r="I133" i="1" s="1"/>
  <c r="E73" i="1"/>
  <c r="AB74" i="1" s="1"/>
  <c r="H73" i="1" s="1"/>
  <c r="AC73" i="1" s="1"/>
  <c r="I73" i="1" s="1"/>
  <c r="E81" i="1"/>
  <c r="AB82" i="1" s="1"/>
  <c r="H81" i="1" s="1"/>
  <c r="AC81" i="1" s="1"/>
  <c r="I81" i="1" s="1"/>
  <c r="E89" i="1"/>
  <c r="AB90" i="1" s="1"/>
  <c r="H89" i="1" s="1"/>
  <c r="E97" i="1"/>
  <c r="AB98" i="1" s="1"/>
  <c r="H97" i="1" s="1"/>
  <c r="AC97" i="1" s="1"/>
  <c r="I97" i="1" s="1"/>
  <c r="E83" i="1"/>
  <c r="AB84" i="1" s="1"/>
  <c r="H83" i="1" s="1"/>
  <c r="E136" i="1"/>
  <c r="AB137" i="1" s="1"/>
  <c r="H136" i="1" s="1"/>
  <c r="AC136" i="1" s="1"/>
  <c r="I136" i="1" s="1"/>
  <c r="E110" i="1"/>
  <c r="AB111" i="1" s="1"/>
  <c r="H110" i="1" s="1"/>
  <c r="AC110" i="1" s="1"/>
  <c r="I110" i="1" s="1"/>
  <c r="E118" i="1"/>
  <c r="AB119" i="1" s="1"/>
  <c r="H118" i="1" s="1"/>
  <c r="AC118" i="1" s="1"/>
  <c r="I118" i="1" s="1"/>
  <c r="E126" i="1"/>
  <c r="AB127" i="1" s="1"/>
  <c r="H126" i="1" s="1"/>
  <c r="AC126" i="1" s="1"/>
  <c r="I126" i="1" s="1"/>
  <c r="E134" i="1"/>
  <c r="AB135" i="1" s="1"/>
  <c r="H134" i="1" s="1"/>
  <c r="AC134" i="1" s="1"/>
  <c r="I134" i="1" s="1"/>
  <c r="E74" i="1"/>
  <c r="AB75" i="1" s="1"/>
  <c r="H74" i="1" s="1"/>
  <c r="AC74" i="1" s="1"/>
  <c r="I74" i="1" s="1"/>
  <c r="E82" i="1"/>
  <c r="AB83" i="1" s="1"/>
  <c r="H82" i="1" s="1"/>
  <c r="AC82" i="1" s="1"/>
  <c r="I82" i="1" s="1"/>
  <c r="E90" i="1"/>
  <c r="AB91" i="1" s="1"/>
  <c r="H90" i="1" s="1"/>
  <c r="AC90" i="1" s="1"/>
  <c r="I90" i="1" s="1"/>
  <c r="E98" i="1"/>
  <c r="AB99" i="1" s="1"/>
  <c r="H98" i="1" s="1"/>
  <c r="AC98" i="1" s="1"/>
  <c r="I98" i="1" s="1"/>
  <c r="C21" i="1"/>
  <c r="E21" i="1" s="1"/>
  <c r="G21" i="1" s="1"/>
  <c r="E111" i="1"/>
  <c r="AB112" i="1" s="1"/>
  <c r="H111" i="1" s="1"/>
  <c r="AC111" i="1" s="1"/>
  <c r="I111" i="1" s="1"/>
  <c r="E119" i="1"/>
  <c r="AB120" i="1" s="1"/>
  <c r="H119" i="1" s="1"/>
  <c r="AC119" i="1" s="1"/>
  <c r="I119" i="1" s="1"/>
  <c r="E127" i="1"/>
  <c r="AB128" i="1" s="1"/>
  <c r="H127" i="1" s="1"/>
  <c r="AC127" i="1" s="1"/>
  <c r="I127" i="1" s="1"/>
  <c r="E135" i="1"/>
  <c r="AB136" i="1" s="1"/>
  <c r="H135" i="1" s="1"/>
  <c r="AC135" i="1" s="1"/>
  <c r="I135" i="1" s="1"/>
  <c r="E75" i="1"/>
  <c r="AB76" i="1" s="1"/>
  <c r="H75" i="1" s="1"/>
  <c r="AC75" i="1" s="1"/>
  <c r="I75" i="1" s="1"/>
  <c r="E99" i="1"/>
  <c r="AB100" i="1" s="1"/>
  <c r="H99" i="1" s="1"/>
  <c r="AC99" i="1" s="1"/>
  <c r="I99" i="1" s="1"/>
  <c r="E76" i="1"/>
  <c r="AB77" i="1" s="1"/>
  <c r="H76" i="1" s="1"/>
  <c r="AC76" i="1" s="1"/>
  <c r="I76" i="1" s="1"/>
  <c r="E59" i="1"/>
  <c r="AB60" i="1" s="1"/>
  <c r="H59" i="1" s="1"/>
  <c r="AC59" i="1" s="1"/>
  <c r="I59" i="1" s="1"/>
  <c r="AC71" i="1"/>
  <c r="I71" i="1" s="1"/>
  <c r="AC104" i="1"/>
  <c r="H114" i="1"/>
  <c r="AC114" i="1" s="1"/>
  <c r="I114" i="1" s="1"/>
  <c r="H112" i="1"/>
  <c r="H124" i="1"/>
  <c r="AC124" i="1" s="1"/>
  <c r="I124" i="1" s="1"/>
  <c r="H113" i="1"/>
  <c r="AC113" i="1" s="1"/>
  <c r="I113" i="1" s="1"/>
  <c r="H120" i="1"/>
  <c r="AC120" i="1" s="1"/>
  <c r="I120" i="1" s="1"/>
  <c r="AC138" i="1"/>
  <c r="I138" i="1" s="1"/>
  <c r="AC137" i="1"/>
  <c r="I137" i="1" s="1"/>
  <c r="AC102" i="1"/>
  <c r="I102" i="1" s="1"/>
  <c r="AC89" i="1"/>
  <c r="I89" i="1" s="1"/>
  <c r="AC83" i="1"/>
  <c r="I83" i="1" s="1"/>
  <c r="AB170" i="1"/>
  <c r="H189" i="1" s="1"/>
  <c r="AB171" i="1" s="1"/>
  <c r="I189" i="1" s="1"/>
  <c r="AB180" i="1"/>
  <c r="H197" i="1" s="1"/>
  <c r="AB181" i="1" s="1"/>
  <c r="I197" i="1" s="1"/>
  <c r="E4" i="3"/>
  <c r="J4" i="3" s="1"/>
  <c r="L4" i="3"/>
  <c r="H6" i="3"/>
  <c r="E54" i="3"/>
  <c r="F54" i="3" s="1"/>
  <c r="AB200" i="1"/>
  <c r="H202" i="1" s="1"/>
  <c r="AB201" i="1" s="1"/>
  <c r="I202" i="1" s="1"/>
  <c r="AB174" i="1"/>
  <c r="F193" i="1" s="1"/>
  <c r="I166" i="1"/>
  <c r="H166" i="1" s="1"/>
  <c r="E32" i="3"/>
  <c r="F32" i="3" s="1"/>
  <c r="E34" i="3"/>
  <c r="F34" i="3" s="1"/>
  <c r="AD10" i="3"/>
  <c r="E41" i="3"/>
  <c r="F41" i="3" s="1"/>
  <c r="I174" i="1"/>
  <c r="H174" i="1" s="1"/>
  <c r="E39" i="3"/>
  <c r="F39" i="3" s="1"/>
  <c r="AD18" i="3"/>
  <c r="AB34" i="1"/>
  <c r="H38" i="1" s="1"/>
  <c r="AB35" i="1" s="1"/>
  <c r="I38" i="1" s="1"/>
  <c r="AB39" i="1"/>
  <c r="H39" i="1" s="1"/>
  <c r="AB40" i="1" s="1"/>
  <c r="I39" i="1" s="1"/>
  <c r="AB168" i="1"/>
  <c r="H188" i="1" s="1"/>
  <c r="AB169" i="1" s="1"/>
  <c r="I188" i="1" s="1"/>
  <c r="AB184" i="1"/>
  <c r="H198" i="1" s="1"/>
  <c r="AB185" i="1" s="1"/>
  <c r="I198" i="1" s="1"/>
  <c r="AB186" i="1"/>
  <c r="H204" i="1" s="1"/>
  <c r="AB187" i="1" s="1"/>
  <c r="I204" i="1" s="1"/>
  <c r="AB172" i="1"/>
  <c r="H190" i="1" s="1"/>
  <c r="AB173" i="1" s="1"/>
  <c r="I190" i="1" s="1"/>
  <c r="H141" i="1"/>
  <c r="AB50" i="1"/>
  <c r="H42" i="1" s="1"/>
  <c r="AB49" i="1"/>
  <c r="F42" i="1" s="1"/>
  <c r="AB13" i="1"/>
  <c r="H35" i="1" s="1"/>
  <c r="AB29" i="1"/>
  <c r="H37" i="1" s="1"/>
  <c r="AB30" i="1" s="1"/>
  <c r="I37" i="1" s="1"/>
  <c r="AB61" i="1"/>
  <c r="H60" i="1" s="1"/>
  <c r="AC60" i="1" s="1"/>
  <c r="I60" i="1" s="1"/>
  <c r="AB179" i="1"/>
  <c r="I196" i="1" s="1"/>
  <c r="H142" i="1"/>
  <c r="AC147" i="1"/>
  <c r="I147" i="1" s="1"/>
  <c r="AB26" i="1"/>
  <c r="H36" i="1" s="1"/>
  <c r="AB27" i="1" s="1"/>
  <c r="I36" i="1" s="1"/>
  <c r="AB166" i="1"/>
  <c r="H187" i="1" s="1"/>
  <c r="AB167" i="1" s="1"/>
  <c r="I187" i="1" s="1"/>
  <c r="AB47" i="1"/>
  <c r="L39" i="1" s="1"/>
  <c r="G19" i="1" l="1"/>
  <c r="D22" i="1"/>
  <c r="AC7" i="1" s="1"/>
  <c r="G27" i="1"/>
  <c r="AB9" i="1" s="1"/>
  <c r="G29" i="1" s="1"/>
  <c r="E27" i="1"/>
  <c r="AB7" i="1" s="1"/>
  <c r="E29" i="1" s="1"/>
  <c r="AC112" i="1"/>
  <c r="I112" i="1" s="1"/>
  <c r="AC139" i="1"/>
  <c r="AC148" i="1"/>
  <c r="I148" i="1" s="1"/>
  <c r="AC153" i="1"/>
  <c r="I153" i="1" s="1"/>
  <c r="AC155" i="1"/>
  <c r="I155" i="1" s="1"/>
  <c r="AC154" i="1"/>
  <c r="I154" i="1" s="1"/>
  <c r="AC142" i="1"/>
  <c r="I142" i="1" s="1"/>
  <c r="AC141" i="1"/>
  <c r="I141" i="1" s="1"/>
  <c r="H4" i="3"/>
  <c r="I170" i="1"/>
  <c r="I183" i="1" s="1"/>
  <c r="H183" i="1" s="1"/>
  <c r="AF32" i="3"/>
  <c r="D214" i="1" s="1"/>
  <c r="AB208" i="1" s="1"/>
  <c r="I214" i="1" s="1"/>
  <c r="AB207" i="1" s="1"/>
  <c r="H214" i="1" s="1"/>
  <c r="AF39" i="3"/>
  <c r="AB15" i="1"/>
  <c r="L34" i="1" s="1"/>
  <c r="AB36" i="1"/>
  <c r="L37" i="1" s="1"/>
  <c r="AB14" i="1"/>
  <c r="I35" i="1" s="1"/>
  <c r="F26" i="1" l="1"/>
  <c r="AC8" i="1" s="1"/>
  <c r="G22" i="1"/>
  <c r="F27" i="1"/>
  <c r="E54" i="1" l="1"/>
  <c r="AB55" i="1" s="1"/>
  <c r="H54" i="1" s="1"/>
  <c r="AC54" i="1" s="1"/>
  <c r="I54" i="1" s="1"/>
  <c r="E62" i="1"/>
  <c r="AB63" i="1" s="1"/>
  <c r="H62" i="1" s="1"/>
  <c r="AC62" i="1" s="1"/>
  <c r="I62" i="1" s="1"/>
  <c r="E55" i="1"/>
  <c r="E61" i="1"/>
  <c r="AB62" i="1" s="1"/>
  <c r="H61" i="1" s="1"/>
  <c r="AC61" i="1" s="1"/>
  <c r="I61" i="1" s="1"/>
  <c r="AB8" i="1"/>
  <c r="F29" i="1" s="1"/>
  <c r="B5" i="3"/>
  <c r="C5" i="3" s="1"/>
  <c r="E5" i="3" l="1"/>
  <c r="L5" i="3"/>
  <c r="F175" i="1"/>
  <c r="I175" i="1" s="1"/>
  <c r="H175" i="1" s="1"/>
  <c r="AB42" i="1"/>
  <c r="E40" i="1" s="1"/>
  <c r="E56" i="1"/>
  <c r="AB56" i="1"/>
  <c r="H55" i="1" s="1"/>
  <c r="AC55" i="1" s="1"/>
  <c r="I55" i="1" s="1"/>
  <c r="E57" i="1" l="1"/>
  <c r="AB57" i="1"/>
  <c r="H56" i="1" s="1"/>
  <c r="AC56" i="1" s="1"/>
  <c r="I56" i="1" s="1"/>
  <c r="AB188" i="1"/>
  <c r="H206" i="1" s="1"/>
  <c r="AB189" i="1" s="1"/>
  <c r="I206" i="1" s="1"/>
  <c r="AB301" i="1"/>
  <c r="J197" i="1" s="1"/>
  <c r="AB303" i="1" s="1"/>
  <c r="J198" i="1" s="1"/>
  <c r="AB44" i="1"/>
  <c r="H40" i="1" s="1"/>
  <c r="AB190" i="1"/>
  <c r="H207" i="1" s="1"/>
  <c r="AB191" i="1" s="1"/>
  <c r="I207" i="1" s="1"/>
  <c r="AB182" i="1"/>
  <c r="H209" i="1" s="1"/>
  <c r="AB183" i="1" s="1"/>
  <c r="I209" i="1" s="1"/>
  <c r="AB31" i="1" s="1"/>
  <c r="L36" i="1" s="1"/>
  <c r="AB192" i="1"/>
  <c r="H208" i="1" s="1"/>
  <c r="AB193" i="1" s="1"/>
  <c r="I208" i="1" s="1"/>
  <c r="J5" i="3"/>
  <c r="H5" i="3"/>
  <c r="AB46" i="1" l="1"/>
  <c r="I40" i="1" s="1"/>
  <c r="AB52" i="1" s="1"/>
  <c r="I44" i="1" s="1"/>
  <c r="AB240" i="1" s="1"/>
  <c r="E238" i="1" s="1"/>
  <c r="AB295" i="1" s="1"/>
  <c r="H257" i="1" s="1"/>
  <c r="I257" i="1" s="1"/>
  <c r="AE46" i="1"/>
  <c r="AB41" i="1"/>
  <c r="L38" i="1" s="1"/>
  <c r="E31" i="3"/>
  <c r="F31" i="3" s="1"/>
  <c r="AF31" i="3" s="1"/>
  <c r="D215" i="1" s="1"/>
  <c r="AB211" i="1" s="1"/>
  <c r="I215" i="1" s="1"/>
  <c r="AB210" i="1" s="1"/>
  <c r="H215" i="1" s="1"/>
  <c r="E53" i="3"/>
  <c r="F53" i="3" s="1"/>
  <c r="D231" i="1" s="1"/>
  <c r="AB233" i="1" s="1"/>
  <c r="I231" i="1" s="1"/>
  <c r="AB232" i="1" s="1"/>
  <c r="H231" i="1" s="1"/>
  <c r="E38" i="3"/>
  <c r="E22" i="3"/>
  <c r="F22" i="3" s="1"/>
  <c r="AD4" i="3"/>
  <c r="AD22" i="3" s="1"/>
  <c r="E50" i="3" s="1"/>
  <c r="F50" i="3" s="1"/>
  <c r="D230" i="1" s="1"/>
  <c r="AB230" i="1" s="1"/>
  <c r="I230" i="1" s="1"/>
  <c r="AB229" i="1" s="1"/>
  <c r="H230" i="1" s="1"/>
  <c r="AB305" i="1"/>
  <c r="J199" i="1" s="1"/>
  <c r="AB10" i="1"/>
  <c r="L29" i="1" s="1"/>
  <c r="E58" i="1"/>
  <c r="AB59" i="1" s="1"/>
  <c r="H58" i="1" s="1"/>
  <c r="AC58" i="1" s="1"/>
  <c r="I58" i="1" s="1"/>
  <c r="AB58" i="1"/>
  <c r="H57" i="1" s="1"/>
  <c r="AC57" i="1" s="1"/>
  <c r="I57" i="1" s="1"/>
  <c r="AB165" i="1" s="1"/>
  <c r="I157" i="1" s="1"/>
  <c r="AB164" i="1" l="1"/>
  <c r="H157" i="1" s="1"/>
  <c r="AB223" i="1"/>
  <c r="K159" i="1" s="1"/>
  <c r="AB220" i="1" s="1"/>
  <c r="I220" i="1" s="1"/>
  <c r="AB219" i="1" s="1"/>
  <c r="H220" i="1" s="1"/>
  <c r="F38" i="3"/>
  <c r="AF38" i="3" s="1"/>
  <c r="E42" i="3"/>
  <c r="F42" i="3" s="1"/>
  <c r="D229" i="1" s="1"/>
  <c r="AB227" i="1" s="1"/>
  <c r="I229" i="1" s="1"/>
  <c r="AB28" i="1"/>
  <c r="L35" i="1" s="1"/>
  <c r="AI220" i="1"/>
  <c r="AI200" i="1"/>
  <c r="AI219" i="1"/>
  <c r="AI196" i="1"/>
  <c r="AI203" i="1"/>
  <c r="AI202" i="1"/>
  <c r="AI194" i="1"/>
  <c r="AI195" i="1"/>
  <c r="AI221" i="1"/>
  <c r="AI204" i="1"/>
  <c r="AI205" i="1"/>
  <c r="AI201" i="1"/>
  <c r="AI207" i="1"/>
  <c r="AI199" i="1"/>
  <c r="AI197" i="1"/>
  <c r="AI206" i="1"/>
  <c r="AI193" i="1"/>
  <c r="AI198" i="1"/>
  <c r="AB6" i="1"/>
  <c r="L28" i="1" s="1"/>
  <c r="AB239" i="1"/>
  <c r="D238" i="1" s="1"/>
  <c r="N183" i="1" s="1"/>
  <c r="AB226" i="1" l="1"/>
  <c r="H229" i="1" s="1"/>
  <c r="AB238" i="1"/>
  <c r="I234" i="1" s="1"/>
  <c r="AB222" i="1"/>
  <c r="I222" i="1" s="1"/>
  <c r="O157" i="1"/>
  <c r="AB221" i="1" l="1"/>
  <c r="H222" i="1" s="1"/>
  <c r="AB4" i="1"/>
  <c r="L26" i="1" s="1"/>
  <c r="AA241" i="1"/>
  <c r="E239" i="1" s="1"/>
  <c r="AB291" i="1"/>
  <c r="K188" i="1" s="1"/>
  <c r="AB293" i="1" s="1"/>
  <c r="K189" i="1" s="1"/>
  <c r="AB237" i="1"/>
  <c r="H234" i="1" s="1"/>
  <c r="AB282" i="1"/>
  <c r="E242" i="1" s="1"/>
  <c r="AB281" i="1" s="1"/>
  <c r="D242" i="1" s="1"/>
  <c r="AB5" i="1"/>
  <c r="L27" i="1" s="1"/>
  <c r="AB289" i="1" l="1"/>
  <c r="F251" i="1" s="1"/>
  <c r="AB290" i="1"/>
  <c r="AC251" i="1" s="1"/>
  <c r="AA240" i="1"/>
  <c r="D239" i="1" s="1"/>
  <c r="AB280" i="1"/>
  <c r="E241" i="1" s="1"/>
  <c r="AB284" i="1" l="1"/>
  <c r="E244" i="1" s="1"/>
  <c r="AB283" i="1" s="1"/>
  <c r="D244" i="1" s="1"/>
  <c r="AB279" i="1"/>
  <c r="D241" i="1" s="1"/>
  <c r="AB288" i="1"/>
  <c r="AC249" i="1" s="1"/>
  <c r="AB286" i="1"/>
  <c r="AC248" i="1" s="1"/>
  <c r="AB287" i="1"/>
  <c r="F249" i="1" s="1"/>
  <c r="AB285" i="1"/>
  <c r="F248" i="1" s="1"/>
  <c r="AB304" i="1" l="1"/>
  <c r="C265" i="1" s="1"/>
  <c r="AB308" i="1"/>
  <c r="K201" i="1" s="1"/>
  <c r="AB307" i="1"/>
  <c r="J201" i="1" s="1"/>
  <c r="AB302" i="1"/>
  <c r="C264" i="1" s="1"/>
  <c r="AB2" i="1"/>
  <c r="I3" i="1" s="1"/>
  <c r="AB300" i="1"/>
  <c r="C263" i="1" s="1"/>
  <c r="AB306" i="1"/>
  <c r="C266" i="1" s="1"/>
  <c r="AB292" i="1"/>
  <c r="H254" i="1" s="1"/>
  <c r="AB299" i="1"/>
  <c r="C262" i="1" s="1"/>
  <c r="AB312" i="1" l="1"/>
  <c r="K203" i="1" s="1"/>
  <c r="AB310" i="1"/>
  <c r="K202" i="1" s="1"/>
  <c r="AB311" i="1"/>
  <c r="J203" i="1" s="1"/>
  <c r="AB309" i="1"/>
  <c r="J202" i="1" s="1"/>
  <c r="AB313" i="1" l="1"/>
  <c r="AB314" i="1"/>
  <c r="J240" i="1" s="1"/>
  <c r="AB294" i="1" s="1"/>
  <c r="H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molenhuisjo</author>
  </authors>
  <commentList>
    <comment ref="AB8" authorId="0" shapeId="0" xr:uid="{00000000-0006-0000-0000-000001000000}">
      <text>
        <r>
          <rPr>
            <b/>
            <sz val="9"/>
            <color indexed="81"/>
            <rFont val="Tahoma"/>
            <family val="2"/>
          </rPr>
          <t>Molenhuis, John (OMAFRA):</t>
        </r>
        <r>
          <rPr>
            <sz val="9"/>
            <color indexed="81"/>
            <rFont val="Tahoma"/>
            <family val="2"/>
          </rPr>
          <t xml:space="preserve">
marketable lambs</t>
        </r>
      </text>
    </comment>
    <comment ref="AC8" authorId="0" shapeId="0" xr:uid="{00000000-0006-0000-0000-000002000000}">
      <text>
        <r>
          <rPr>
            <b/>
            <sz val="9"/>
            <color indexed="81"/>
            <rFont val="Tahoma"/>
            <family val="2"/>
          </rPr>
          <t>Molenhuis, John (OMAFRA):</t>
        </r>
        <r>
          <rPr>
            <sz val="9"/>
            <color indexed="81"/>
            <rFont val="Tahoma"/>
            <family val="2"/>
          </rPr>
          <t xml:space="preserve">
lambs weaned</t>
        </r>
      </text>
    </comment>
    <comment ref="E10" authorId="0" shapeId="0" xr:uid="{B264EECA-57DD-48AD-A35A-847CD78C637F}">
      <text>
        <r>
          <rPr>
            <b/>
            <sz val="12"/>
            <color indexed="81"/>
            <rFont val="Tahoma"/>
            <family val="2"/>
          </rPr>
          <t>Value assumes static flock size = ewes culled + ewes died</t>
        </r>
        <r>
          <rPr>
            <sz val="9"/>
            <color indexed="81"/>
            <rFont val="Tahoma"/>
            <family val="2"/>
          </rPr>
          <t xml:space="preserve">
</t>
        </r>
      </text>
    </comment>
    <comment ref="C17" authorId="0" shapeId="0" xr:uid="{8697FA6F-D10C-48CD-984C-18AEC84FE7F9}">
      <text>
        <r>
          <rPr>
            <b/>
            <sz val="12"/>
            <color indexed="81"/>
            <rFont val="Tahoma"/>
            <family val="2"/>
          </rPr>
          <t>Assumes that over 2 years all ewes will have opportunity to breed in all 3 groups and replacements will be bred in December</t>
        </r>
        <r>
          <rPr>
            <sz val="9"/>
            <color indexed="81"/>
            <rFont val="Tahoma"/>
            <family val="2"/>
          </rPr>
          <t xml:space="preserve">
</t>
        </r>
      </text>
    </comment>
    <comment ref="F17" authorId="1" shapeId="0" xr:uid="{C34A0F06-4BF9-49CD-94A9-6BC2CC46DD3B}">
      <text>
        <r>
          <rPr>
            <b/>
            <sz val="12"/>
            <color indexed="81"/>
            <rFont val="Tahoma"/>
            <family val="2"/>
          </rPr>
          <t>The Expected outcome is the most likely outcome you expect this year</t>
        </r>
        <r>
          <rPr>
            <sz val="8"/>
            <color indexed="81"/>
            <rFont val="Tahoma"/>
            <family val="2"/>
          </rPr>
          <t xml:space="preserve">
</t>
        </r>
      </text>
    </comment>
    <comment ref="F18" authorId="0" shapeId="0" xr:uid="{B3218E2E-A195-45B4-8844-2A278822C6CD}">
      <text>
        <r>
          <rPr>
            <b/>
            <sz val="12"/>
            <color indexed="81"/>
            <rFont val="Tahoma"/>
            <family val="2"/>
          </rPr>
          <t>Expected number of lambs born per ewe lambing</t>
        </r>
        <r>
          <rPr>
            <sz val="9"/>
            <color indexed="81"/>
            <rFont val="Tahoma"/>
            <family val="2"/>
          </rPr>
          <t xml:space="preserve">
</t>
        </r>
      </text>
    </comment>
    <comment ref="C21" authorId="0" shapeId="0" xr:uid="{53222FB5-FDC8-4FC3-B4E6-6FF0B22ACD34}">
      <text>
        <r>
          <rPr>
            <b/>
            <sz val="12"/>
            <color indexed="81"/>
            <rFont val="Tahoma"/>
            <family val="2"/>
          </rPr>
          <t>2 years of replacements bred in December subtracted from other December breeding due to the lower conception rates</t>
        </r>
      </text>
    </comment>
    <comment ref="A25" authorId="0" shapeId="0" xr:uid="{F4DE4305-B884-4E9D-BD43-7AA395B0FF78}">
      <text>
        <r>
          <rPr>
            <sz val="12"/>
            <color indexed="81"/>
            <rFont val="Tahoma"/>
            <family val="2"/>
          </rPr>
          <t>Expected returns are subject to the risk of fluctuations in both revenue and expenses.
Change the key risk variables identified for the ewe flock enterprise in the boxes provided to the right to see how they will affect your risk analysis at the end of this budgeting worksheet.
The range between Optimistic and Pessimistic will represent a full range of possible outcomes and are unlikely to all occur within one year.
The optimistic and pessimistic entries affect the Risk Analysis section and do not impact your Expected cost of production calculations.</t>
        </r>
      </text>
    </comment>
    <comment ref="E25" authorId="1" shapeId="0" xr:uid="{00000000-0006-0000-0000-000003000000}">
      <text>
        <r>
          <rPr>
            <b/>
            <sz val="12"/>
            <color indexed="81"/>
            <rFont val="Tahoma"/>
            <family val="2"/>
          </rPr>
          <t>The Optimistic estimate is what you would reasonably expect to be seen at least 1 out of every 6 years</t>
        </r>
        <r>
          <rPr>
            <sz val="8"/>
            <color indexed="81"/>
            <rFont val="Tahoma"/>
            <family val="2"/>
          </rPr>
          <t xml:space="preserve">
</t>
        </r>
      </text>
    </comment>
    <comment ref="F25" authorId="1" shapeId="0" xr:uid="{00000000-0006-0000-0000-000004000000}">
      <text>
        <r>
          <rPr>
            <b/>
            <sz val="12"/>
            <color indexed="81"/>
            <rFont val="Tahoma"/>
            <family val="2"/>
          </rPr>
          <t>The Expected outcome is the most likely outcome you expect this year</t>
        </r>
        <r>
          <rPr>
            <sz val="8"/>
            <color indexed="81"/>
            <rFont val="Tahoma"/>
            <family val="2"/>
          </rPr>
          <t xml:space="preserve">
</t>
        </r>
      </text>
    </comment>
    <comment ref="G25" authorId="1" shapeId="0" xr:uid="{00000000-0006-0000-0000-000005000000}">
      <text>
        <r>
          <rPr>
            <b/>
            <sz val="12"/>
            <color indexed="81"/>
            <rFont val="Tahoma"/>
            <family val="2"/>
          </rPr>
          <t xml:space="preserve">The Pessimistic expectation should be the poorest result you would reasonably expect to occur 1 out of every 6 years </t>
        </r>
        <r>
          <rPr>
            <sz val="12"/>
            <color indexed="81"/>
            <rFont val="Tahoma"/>
            <family val="2"/>
          </rPr>
          <t xml:space="preserve">
</t>
        </r>
      </text>
    </comment>
    <comment ref="F26" authorId="0" shapeId="0" xr:uid="{C97426D4-2AFC-4EFE-925C-DE4D401E7935}">
      <text>
        <r>
          <rPr>
            <b/>
            <sz val="12"/>
            <color indexed="81"/>
            <rFont val="Tahoma"/>
            <family val="2"/>
          </rPr>
          <t>Average weighted fertility rate based on values in 'Expected Fertility Rate' above</t>
        </r>
      </text>
    </comment>
    <comment ref="F27" authorId="0" shapeId="0" xr:uid="{9ADB189C-9C0D-42A0-AAA1-9B23EA8071C1}">
      <text>
        <r>
          <rPr>
            <b/>
            <sz val="12"/>
            <color indexed="81"/>
            <rFont val="Tahoma"/>
            <family val="2"/>
          </rPr>
          <t>Lambs born over 2 years divided by 2</t>
        </r>
      </text>
    </comment>
    <comment ref="F29" authorId="0" shapeId="0" xr:uid="{7D3D0A67-1059-49CA-B044-F57BC89D8EE5}">
      <text>
        <r>
          <rPr>
            <sz val="12"/>
            <color indexed="81"/>
            <rFont val="Tahoma"/>
            <family val="2"/>
          </rPr>
          <t>Lambs born minus Lamb mortality</t>
        </r>
      </text>
    </comment>
    <comment ref="E54" authorId="0" shapeId="0" xr:uid="{B5AC9D73-71B9-447F-8654-A63587833F72}">
      <text>
        <r>
          <rPr>
            <b/>
            <sz val="12"/>
            <color indexed="81"/>
            <rFont val="Tahoma"/>
            <family val="2"/>
          </rPr>
          <t>Assumes 5% of lambs born will be bottlefed</t>
        </r>
        <r>
          <rPr>
            <sz val="9"/>
            <color indexed="81"/>
            <rFont val="Tahoma"/>
            <family val="2"/>
          </rPr>
          <t xml:space="preserve">
</t>
        </r>
      </text>
    </comment>
    <comment ref="F55" authorId="0" shapeId="0" xr:uid="{70332ADE-CA4B-46EF-80D7-D3F6DD03A2BC}">
      <text>
        <r>
          <rPr>
            <b/>
            <sz val="12"/>
            <color indexed="81"/>
            <rFont val="Tahoma"/>
            <family val="2"/>
          </rPr>
          <t>Assumes that lambs get creep at 20 days of age and it is fed fo 50 days weaning to grower at 70 days</t>
        </r>
        <r>
          <rPr>
            <sz val="9"/>
            <color indexed="81"/>
            <rFont val="Tahoma"/>
            <family val="2"/>
          </rPr>
          <t xml:space="preserve">
</t>
        </r>
      </text>
    </comment>
    <comment ref="A56" authorId="0" shapeId="0" xr:uid="{F07013B0-7723-4FAD-AA1F-23D66E1CBC22}">
      <text>
        <r>
          <rPr>
            <b/>
            <sz val="12"/>
            <color indexed="81"/>
            <rFont val="Tahoma"/>
            <family val="2"/>
          </rPr>
          <t>Based on 24% creep and 75% corn</t>
        </r>
      </text>
    </comment>
    <comment ref="E56" authorId="0" shapeId="0" xr:uid="{3E42D5E1-016C-44CA-9DD5-3DEF0A09679C}">
      <text>
        <r>
          <rPr>
            <b/>
            <sz val="12"/>
            <color indexed="81"/>
            <rFont val="Tahoma"/>
            <family val="2"/>
          </rPr>
          <t>Assumes 12% pre-weaning mortality</t>
        </r>
        <r>
          <rPr>
            <sz val="9"/>
            <color indexed="81"/>
            <rFont val="Tahoma"/>
            <family val="2"/>
          </rPr>
          <t xml:space="preserve">
</t>
        </r>
      </text>
    </comment>
    <comment ref="A57" authorId="0" shapeId="0" xr:uid="{C297F481-A6C5-44B0-AFDF-5C847BBCA8E3}">
      <text>
        <r>
          <rPr>
            <b/>
            <sz val="12"/>
            <color indexed="81"/>
            <rFont val="Tahoma"/>
            <family val="2"/>
          </rPr>
          <t>Based on 20% creep and 80% corn</t>
        </r>
      </text>
    </comment>
    <comment ref="E57" authorId="0" shapeId="0" xr:uid="{621E937F-CE30-490E-AE2A-58D78825B5A6}">
      <text>
        <r>
          <rPr>
            <b/>
            <sz val="12"/>
            <color indexed="81"/>
            <rFont val="Tahoma"/>
            <family val="2"/>
          </rPr>
          <t>Assumes 3% mortality during growing and finishing</t>
        </r>
        <r>
          <rPr>
            <sz val="9"/>
            <color indexed="81"/>
            <rFont val="Tahoma"/>
            <family val="2"/>
          </rPr>
          <t xml:space="preserve">
</t>
        </r>
      </text>
    </comment>
    <comment ref="F58" authorId="0" shapeId="0" xr:uid="{066DF93F-1814-4A0D-9B9F-FE10D5E56612}">
      <text>
        <r>
          <rPr>
            <b/>
            <sz val="12"/>
            <color indexed="81"/>
            <rFont val="Tahoma"/>
            <family val="2"/>
          </rPr>
          <t xml:space="preserve">After weaning requirements
</t>
        </r>
        <r>
          <rPr>
            <sz val="9"/>
            <color indexed="81"/>
            <rFont val="Tahoma"/>
            <family val="2"/>
          </rPr>
          <t xml:space="preserve">
</t>
        </r>
      </text>
    </comment>
    <comment ref="F59" authorId="0" shapeId="0" xr:uid="{F8BE4586-A0B6-41B2-8FF6-DC012B900699}">
      <text>
        <r>
          <rPr>
            <b/>
            <sz val="12"/>
            <color indexed="81"/>
            <rFont val="Tahoma"/>
            <family val="2"/>
          </rPr>
          <t xml:space="preserve">Assumes replacements fed with market lambs to 175 days of age, the replacement grower to start breeding at 215 days </t>
        </r>
        <r>
          <rPr>
            <sz val="9"/>
            <color indexed="81"/>
            <rFont val="Tahoma"/>
            <family val="2"/>
          </rPr>
          <t xml:space="preserve">
</t>
        </r>
      </text>
    </comment>
    <comment ref="F61" authorId="0" shapeId="0" xr:uid="{B421B417-BE38-4E5B-827A-4B37D5FA6A59}">
      <text>
        <r>
          <rPr>
            <b/>
            <sz val="12"/>
            <color indexed="81"/>
            <rFont val="Tahoma"/>
            <family val="2"/>
          </rPr>
          <t>After weaning requirements</t>
        </r>
        <r>
          <rPr>
            <sz val="9"/>
            <color indexed="81"/>
            <rFont val="Tahoma"/>
            <family val="2"/>
          </rPr>
          <t xml:space="preserve">
</t>
        </r>
      </text>
    </comment>
    <comment ref="F62" authorId="0" shapeId="0" xr:uid="{DEBF7772-E67B-45FB-B550-705864D38214}">
      <text>
        <r>
          <rPr>
            <b/>
            <sz val="12"/>
            <color indexed="81"/>
            <rFont val="Tahoma"/>
            <family val="2"/>
          </rPr>
          <t>After weaning requirements</t>
        </r>
        <r>
          <rPr>
            <sz val="9"/>
            <color indexed="81"/>
            <rFont val="Tahoma"/>
            <family val="2"/>
          </rPr>
          <t xml:space="preserve">
</t>
        </r>
      </text>
    </comment>
    <comment ref="E70" authorId="0" shapeId="0" xr:uid="{75F7B46D-A7ED-402C-ADD5-80F211051BF5}">
      <text>
        <r>
          <rPr>
            <b/>
            <sz val="12"/>
            <color indexed="81"/>
            <rFont val="Tahoma"/>
            <family val="2"/>
          </rPr>
          <t>Number of mature ewes = total ewes - replacements</t>
        </r>
        <r>
          <rPr>
            <sz val="9"/>
            <color indexed="81"/>
            <rFont val="Tahoma"/>
            <family val="2"/>
          </rPr>
          <t xml:space="preserve">
</t>
        </r>
      </text>
    </comment>
    <comment ref="F70" authorId="0" shapeId="0" xr:uid="{08119949-D299-437D-A237-E28FE00E38B9}">
      <text>
        <r>
          <rPr>
            <b/>
            <sz val="12"/>
            <color indexed="81"/>
            <rFont val="Tahoma"/>
            <family val="2"/>
          </rPr>
          <t># of days on each feedstuffs assuming 1/3 of the time on pasture for breeding, 45% of the time on pasture for early/mid gestation, 1/3 of the time on pasture for late gestation, all lambing and lactation in barn and 1/3 of the time on pasture for maintenance times 1.5 to account for a whole year not just 1 production cycle</t>
        </r>
        <r>
          <rPr>
            <sz val="9"/>
            <color indexed="81"/>
            <rFont val="Tahoma"/>
            <family val="2"/>
          </rPr>
          <t xml:space="preserve">
</t>
        </r>
      </text>
    </comment>
    <comment ref="F105" authorId="0" shapeId="0" xr:uid="{66A32963-C6F3-490B-B185-FAADB48AFEFB}">
      <text>
        <r>
          <rPr>
            <b/>
            <sz val="12"/>
            <color indexed="81"/>
            <rFont val="Tahoma"/>
            <family val="2"/>
          </rPr>
          <t>replacements will only lamb once as replacements, the other 122 days of the year they are fed in the lamb section</t>
        </r>
        <r>
          <rPr>
            <sz val="9"/>
            <color indexed="81"/>
            <rFont val="Tahoma"/>
            <family val="2"/>
          </rPr>
          <t xml:space="preserve">
</t>
        </r>
      </text>
    </comment>
    <comment ref="F152" authorId="0" shapeId="0" xr:uid="{BB534F82-2908-4490-BEAA-FCCFA5C948C6}">
      <text>
        <r>
          <rPr>
            <b/>
            <sz val="12"/>
            <color indexed="81"/>
            <rFont val="Tahoma"/>
            <family val="2"/>
          </rPr>
          <t>Assumes rams will be on pasture from beginning of May to the end of September</t>
        </r>
        <r>
          <rPr>
            <sz val="9"/>
            <color indexed="81"/>
            <rFont val="Tahoma"/>
            <family val="2"/>
          </rPr>
          <t xml:space="preserve">
</t>
        </r>
      </text>
    </comment>
    <comment ref="A159" authorId="0" shapeId="0" xr:uid="{00000000-0006-0000-0000-000006000000}">
      <text>
        <r>
          <rPr>
            <sz val="12"/>
            <color indexed="81"/>
            <rFont val="Tahoma"/>
            <family val="2"/>
          </rPr>
          <t xml:space="preserve">Contact your veterinarian to develop a health program. 
Establishment of a Veterinarian-Client-Patient-Relationship (VCPR) is required before antimicrobials or any prescription product may be prescribed for animals. </t>
        </r>
      </text>
    </comment>
    <comment ref="F165" authorId="0" shapeId="0" xr:uid="{00000000-0006-0000-0000-000007000000}">
      <text>
        <r>
          <rPr>
            <b/>
            <sz val="12"/>
            <color indexed="81"/>
            <rFont val="Tahoma"/>
            <family val="2"/>
          </rPr>
          <t>20% of animals are not wormed (refugia to minimize development of anthelminthic resistance</t>
        </r>
        <r>
          <rPr>
            <sz val="12"/>
            <color indexed="81"/>
            <rFont val="Tahoma"/>
            <family val="2"/>
          </rPr>
          <t xml:space="preserve">
</t>
        </r>
      </text>
    </comment>
    <comment ref="F166" authorId="0" shapeId="0" xr:uid="{00000000-0006-0000-0000-000008000000}">
      <text>
        <r>
          <rPr>
            <b/>
            <sz val="12"/>
            <color indexed="81"/>
            <rFont val="Tahoma"/>
            <family val="2"/>
          </rPr>
          <t>20% of animals are not wormed (refugia to minimize development of anthelminthic resistance</t>
        </r>
        <r>
          <rPr>
            <sz val="12"/>
            <color indexed="81"/>
            <rFont val="Tahoma"/>
            <family val="2"/>
          </rPr>
          <t xml:space="preserve">
</t>
        </r>
      </text>
    </comment>
    <comment ref="E194" authorId="1" shapeId="0" xr:uid="{00000000-0006-0000-0000-00000C000000}">
      <text>
        <r>
          <rPr>
            <b/>
            <sz val="12"/>
            <color indexed="81"/>
            <rFont val="Tahoma"/>
            <family val="2"/>
          </rPr>
          <t>If a number is entered in the $/Ewe column the budget will ignore any number entered in the $/Year column</t>
        </r>
        <r>
          <rPr>
            <sz val="10"/>
            <color indexed="81"/>
            <rFont val="Tahoma"/>
            <family val="2"/>
          </rPr>
          <t xml:space="preserve">
</t>
        </r>
      </text>
    </comment>
    <comment ref="F194" authorId="1" shapeId="0" xr:uid="{00000000-0006-0000-0000-00000D000000}">
      <text>
        <r>
          <rPr>
            <b/>
            <sz val="12"/>
            <color indexed="81"/>
            <rFont val="Tahoma"/>
            <family val="2"/>
          </rPr>
          <t>If a number is entered in the $/Ewe column the budget will ignore any number entered in the $/Year column</t>
        </r>
        <r>
          <rPr>
            <sz val="10"/>
            <color indexed="81"/>
            <rFont val="Tahoma"/>
            <family val="2"/>
          </rPr>
          <t xml:space="preserve">
</t>
        </r>
      </text>
    </comment>
    <comment ref="C203" authorId="0" shapeId="0" xr:uid="{00000000-0006-0000-0000-00000E000000}">
      <text>
        <r>
          <rPr>
            <sz val="12"/>
            <color indexed="81"/>
            <rFont val="Tahoma"/>
            <family val="2"/>
          </rPr>
          <t>Annual cost for feeding and keeping dogs</t>
        </r>
      </text>
    </comment>
    <comment ref="E205" authorId="1" shapeId="0" xr:uid="{899525BF-161D-41F0-B78E-4B273FCF0EFA}">
      <text>
        <r>
          <rPr>
            <b/>
            <sz val="12"/>
            <color indexed="81"/>
            <rFont val="Tahoma"/>
            <family val="2"/>
          </rPr>
          <t>If a number is entered in the $/head column the budget will ignore any number entered in the $/Year column</t>
        </r>
        <r>
          <rPr>
            <sz val="10"/>
            <color indexed="81"/>
            <rFont val="Tahoma"/>
            <family val="2"/>
          </rPr>
          <t xml:space="preserve">
</t>
        </r>
      </text>
    </comment>
    <comment ref="F205" authorId="1" shapeId="0" xr:uid="{F04AEA87-2B64-4612-9EBE-06C130A8B026}">
      <text>
        <r>
          <rPr>
            <b/>
            <sz val="12"/>
            <color indexed="81"/>
            <rFont val="Tahoma"/>
            <family val="2"/>
          </rPr>
          <t>If a number is entered in the $/head column the budget will ignore any number entered in the $/Year column</t>
        </r>
        <r>
          <rPr>
            <sz val="10"/>
            <color indexed="81"/>
            <rFont val="Tahoma"/>
            <family val="2"/>
          </rPr>
          <t xml:space="preserve">
</t>
        </r>
      </text>
    </comment>
    <comment ref="D214" authorId="0" shapeId="0" xr:uid="{00000000-0006-0000-0000-00000F000000}">
      <text>
        <r>
          <rPr>
            <b/>
            <sz val="12"/>
            <color indexed="81"/>
            <rFont val="Tahoma"/>
            <family val="2"/>
          </rPr>
          <t>Use the Capital Investment worksheet to calculate or direct input here</t>
        </r>
      </text>
    </comment>
    <comment ref="D215" authorId="0" shapeId="0" xr:uid="{00000000-0006-0000-0000-000010000000}">
      <text>
        <r>
          <rPr>
            <b/>
            <sz val="12"/>
            <color indexed="81"/>
            <rFont val="Tahoma"/>
            <family val="2"/>
          </rPr>
          <t>Use the Capital Investment worksheet to calculate or direct input here</t>
        </r>
      </text>
    </comment>
    <comment ref="D229" authorId="0" shapeId="0" xr:uid="{00000000-0006-0000-0000-000011000000}">
      <text>
        <r>
          <rPr>
            <b/>
            <sz val="12"/>
            <color indexed="81"/>
            <rFont val="Tahoma"/>
            <family val="2"/>
          </rPr>
          <t xml:space="preserve">Use the Capital Investment worksheet to calculate or direct input here
</t>
        </r>
      </text>
    </comment>
    <comment ref="D230" authorId="0" shapeId="0" xr:uid="{00000000-0006-0000-0000-000012000000}">
      <text>
        <r>
          <rPr>
            <b/>
            <sz val="12"/>
            <color indexed="81"/>
            <rFont val="Tahoma"/>
            <family val="2"/>
          </rPr>
          <t>Use the Capital Investment worksheet to calculate or direct input here</t>
        </r>
      </text>
    </comment>
    <comment ref="B257" authorId="1" shapeId="0" xr:uid="{00000000-0006-0000-0000-000013000000}">
      <text>
        <r>
          <rPr>
            <b/>
            <sz val="12"/>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<sst xmlns="http://schemas.openxmlformats.org/spreadsheetml/2006/main" count="703" uniqueCount="462">
  <si>
    <t>This is a cost of production budgeting tool that has 2 worksheets. There are fields that can be completed by the user. It is up to 21 columns wide and 252 rows.</t>
  </si>
  <si>
    <t>Sheepf 1</t>
  </si>
  <si>
    <t>ACCELERATED EWE FLOCK ENTERPRISE BUDGET</t>
  </si>
  <si>
    <t>Revised: 2024</t>
  </si>
  <si>
    <t>Cell</t>
  </si>
  <si>
    <t>Note</t>
  </si>
  <si>
    <t>Return Per Ewe:</t>
  </si>
  <si>
    <t>E10</t>
  </si>
  <si>
    <t>Value assumes static flock size = ewes culled + ewes died</t>
  </si>
  <si>
    <t>Numbers in blue can be edited/changed for individual producers</t>
  </si>
  <si>
    <t>Revised: July 94</t>
  </si>
  <si>
    <t>C17</t>
  </si>
  <si>
    <t>Assumes that over 2 years all ewes will have the opportunity to breed in all 3 groups and replacements will be bred in December</t>
  </si>
  <si>
    <t>Number of Breeding Ewes</t>
  </si>
  <si>
    <t>hd</t>
  </si>
  <si>
    <t>C21</t>
  </si>
  <si>
    <t>2 years of replacements bred in December subtracted from other December breeding due to lower conception rates</t>
  </si>
  <si>
    <t>Percent Ewes Culled</t>
  </si>
  <si>
    <t>%</t>
  </si>
  <si>
    <t>F18</t>
  </si>
  <si>
    <t>Expected number of lambs born per ewe lambing</t>
  </si>
  <si>
    <t>Breeding Ewe Death Loss</t>
  </si>
  <si>
    <t>F26</t>
  </si>
  <si>
    <t>Average weighted fertility rate based on values in F18:F21</t>
  </si>
  <si>
    <t>Weight of Cull Ewes</t>
  </si>
  <si>
    <t>lbs</t>
  </si>
  <si>
    <t>F27</t>
  </si>
  <si>
    <t>Lambs born over 2 years divided by 2 years</t>
  </si>
  <si>
    <t>Price of Cull Ewes</t>
  </si>
  <si>
    <t>cents/lb</t>
  </si>
  <si>
    <t>F29</t>
  </si>
  <si>
    <t>Lambs born -Lamb mortality</t>
  </si>
  <si>
    <t>Replacement Ewes Raised</t>
  </si>
  <si>
    <t>E54</t>
  </si>
  <si>
    <t>Assumes 5% of lambs born will be bottlefed</t>
  </si>
  <si>
    <t>Number of Breeding Rams</t>
  </si>
  <si>
    <t>E56</t>
  </si>
  <si>
    <t>Assumes 12% mortality by  weaning</t>
  </si>
  <si>
    <t>Number of Rams Culled</t>
  </si>
  <si>
    <t>E57</t>
  </si>
  <si>
    <t>Assumes 3% mortality during growing and finishing</t>
  </si>
  <si>
    <t>Weight of Cull Rams</t>
  </si>
  <si>
    <t>F55</t>
  </si>
  <si>
    <t>Assumes that lambs get creep at 20 days of age and it is fed for 50 days weaning to grower at 70 days</t>
  </si>
  <si>
    <t>Price of Cull Rams</t>
  </si>
  <si>
    <t xml:space="preserve">  </t>
  </si>
  <si>
    <t>F58</t>
  </si>
  <si>
    <t>After weaning requirements</t>
  </si>
  <si>
    <t>F59</t>
  </si>
  <si>
    <t>Assumes replacements fed with market lambs to 175 days of age, then replacement grower to start breeding at 215 days</t>
  </si>
  <si>
    <t>Flock Production:</t>
  </si>
  <si>
    <t>Lambing Rate = 3 times per 2 years = 1.5 times per year</t>
  </si>
  <si>
    <t>F61</t>
  </si>
  <si>
    <t>Month</t>
  </si>
  <si>
    <t># ewes exposed</t>
  </si>
  <si>
    <t>Conception Rate</t>
  </si>
  <si>
    <t># of Ewes lambing</t>
  </si>
  <si>
    <t>Expected Fertility rate</t>
  </si>
  <si>
    <t># lambs born</t>
  </si>
  <si>
    <t>F62</t>
  </si>
  <si>
    <t>First breeding</t>
  </si>
  <si>
    <t>April</t>
  </si>
  <si>
    <t>A56</t>
  </si>
  <si>
    <t>Based on 24% Creep and 75% corn</t>
  </si>
  <si>
    <t>Second breeding</t>
  </si>
  <si>
    <t>December</t>
  </si>
  <si>
    <t>A57</t>
  </si>
  <si>
    <t>Based on 20% Creep and 80% corn</t>
  </si>
  <si>
    <t>Third breeding</t>
  </si>
  <si>
    <t>August</t>
  </si>
  <si>
    <t>E70</t>
  </si>
  <si>
    <t>Number of mature ewes = total ewes - replacements</t>
  </si>
  <si>
    <t>Replacement Ewe Lambs</t>
  </si>
  <si>
    <t>F70</t>
  </si>
  <si>
    <t xml:space="preserve"># of days on each feedstuffs assuming 1/3 of the time on pasture for breeding, 45% of the time on pasttre for early/mid gestation, 1/3 of the time on pasture for late gestation, all lambing and lactation in barn and 1/3 of the time on pasture for maintenance times 1.5 to account for a whole year not just 1 production cycle. </t>
  </si>
  <si>
    <t>Average Conception rate</t>
  </si>
  <si>
    <t>Lambs born over 2 years</t>
  </si>
  <si>
    <t>F105</t>
  </si>
  <si>
    <t>replacements will only lamb once as replacements, the other 122 days of the year they are fed in the lamb section</t>
  </si>
  <si>
    <t>Expected returns are subject to the risk of fluctuations in both revenue and expenses.</t>
  </si>
  <si>
    <t>F152</t>
  </si>
  <si>
    <t>Assumes rams will be on grass from beginning of May to the end of September</t>
  </si>
  <si>
    <t xml:space="preserve">Increases in sale prices received, decreases in your cost of production, increases in your lambs weaned and decreases in your lamb death loss will have </t>
  </si>
  <si>
    <t>Risk Factors:</t>
  </si>
  <si>
    <t>Optimistic</t>
  </si>
  <si>
    <t xml:space="preserve"> Expected</t>
  </si>
  <si>
    <t>Pessimistic</t>
  </si>
  <si>
    <t xml:space="preserve">positive impacts on your net return.  Conversely, sale price decreases, increases to your cost of production, decreases in lambs weaned and increases in death </t>
  </si>
  <si>
    <t>Fertility Rate</t>
  </si>
  <si>
    <t>loss will have negative impacts on your net return.  The expected values that you inputted for the key ewe flock risk variables are displayed below on the left.</t>
  </si>
  <si>
    <t>Lambs born per year</t>
  </si>
  <si>
    <t>Change the key risk variables identified for the ewe flock enterprise in the boxes provided to the right to see how they will affect your net return.</t>
  </si>
  <si>
    <t>Percent Lamb Mortality</t>
  </si>
  <si>
    <t>Marketable Lamb Crop</t>
  </si>
  <si>
    <t>Selling Weight of Lambs</t>
  </si>
  <si>
    <t>Selling Price of Lambs</t>
  </si>
  <si>
    <t>Tran!D3..G14</t>
  </si>
  <si>
    <t>Allo!C3..J14</t>
  </si>
  <si>
    <t>REVENUE</t>
  </si>
  <si>
    <t>$/Year</t>
  </si>
  <si>
    <t>Expected Revenues:</t>
  </si>
  <si>
    <t>Head</t>
  </si>
  <si>
    <t>$/Head</t>
  </si>
  <si>
    <t>$/Ewe</t>
  </si>
  <si>
    <t xml:space="preserve"> Breeding Ewe Lamb Sales</t>
  </si>
  <si>
    <t xml:space="preserve"> Breeding Ram Lamb Sales</t>
  </si>
  <si>
    <t xml:space="preserve"> Other Breeding Stock Sales</t>
  </si>
  <si>
    <t xml:space="preserve"> Cull Ewe Sales</t>
  </si>
  <si>
    <t xml:space="preserve"> Cull Ram Sales</t>
  </si>
  <si>
    <t xml:space="preserve"> Market Lamb Sales</t>
  </si>
  <si>
    <t xml:space="preserve"> Wool </t>
  </si>
  <si>
    <t>lb/fleece</t>
  </si>
  <si>
    <t xml:space="preserve">   Sales</t>
  </si>
  <si>
    <t>$/lb</t>
  </si>
  <si>
    <t>-</t>
  </si>
  <si>
    <t>Expected Total Revenue</t>
  </si>
  <si>
    <t>Number of Ewes to Base Variable Costs on ==&gt;</t>
  </si>
  <si>
    <t>**</t>
  </si>
  <si>
    <t>**(Enter the herd size used to determine variable costs)</t>
  </si>
  <si>
    <t>EXPENSES</t>
  </si>
  <si>
    <t xml:space="preserve"> Variable Costs:</t>
  </si>
  <si>
    <t xml:space="preserve"> Feed Costs</t>
  </si>
  <si>
    <t xml:space="preserve">   -----</t>
  </si>
  <si>
    <t xml:space="preserve"> --------</t>
  </si>
  <si>
    <t>Lambs</t>
  </si>
  <si>
    <t>Amount fed (lb/day)</t>
  </si>
  <si>
    <t>Price ($/lb)</t>
  </si>
  <si>
    <t># of head</t>
  </si>
  <si>
    <t># of days</t>
  </si>
  <si>
    <t>Total lbs/head</t>
  </si>
  <si>
    <t>Milk replacer</t>
  </si>
  <si>
    <t xml:space="preserve"> </t>
  </si>
  <si>
    <t>Creep</t>
  </si>
  <si>
    <t>Grower</t>
  </si>
  <si>
    <t>Finishing ration</t>
  </si>
  <si>
    <t>Bedding</t>
  </si>
  <si>
    <t>Replacement ewe grower</t>
  </si>
  <si>
    <t>Pasture</t>
  </si>
  <si>
    <t>Mineral</t>
  </si>
  <si>
    <t>Salt</t>
  </si>
  <si>
    <t>Ewes, Rams and Replacements</t>
  </si>
  <si>
    <t xml:space="preserve"> Crop Transfers (based on </t>
  </si>
  <si>
    <t>Ewes)</t>
  </si>
  <si>
    <t xml:space="preserve"> *** (Input ONLY if NOT using Crop Transfer table) ***</t>
  </si>
  <si>
    <t>Mature Ewes</t>
  </si>
  <si>
    <t>Breeding</t>
  </si>
  <si>
    <t>Mixed hay</t>
  </si>
  <si>
    <t>Alfalfa hay</t>
  </si>
  <si>
    <t>Corn</t>
  </si>
  <si>
    <t>Soybean meal</t>
  </si>
  <si>
    <t>Protein supplement pellets</t>
  </si>
  <si>
    <t>Early/Mid Gestation</t>
  </si>
  <si>
    <t>Late Gestation</t>
  </si>
  <si>
    <t>Lambing &amp; Lactation</t>
  </si>
  <si>
    <t>Maintenance</t>
  </si>
  <si>
    <t>Straw</t>
  </si>
  <si>
    <t>Replacement Ewe Lamb</t>
  </si>
  <si>
    <t>Lambing and Lactation</t>
  </si>
  <si>
    <t>Rams</t>
  </si>
  <si>
    <t>Wfarm!L4</t>
  </si>
  <si>
    <t>Wfarm!L5</t>
  </si>
  <si>
    <t>Wfarm!L6</t>
  </si>
  <si>
    <t>Wfarm!L7</t>
  </si>
  <si>
    <t>Wfarm!L8</t>
  </si>
  <si>
    <t>Total Feed Costs</t>
  </si>
  <si>
    <t>Animal Health Program Costs</t>
  </si>
  <si>
    <t>Wfarm!L9</t>
  </si>
  <si>
    <t xml:space="preserve"> Total Cost</t>
  </si>
  <si>
    <t># of visits</t>
  </si>
  <si>
    <t>$ per visit</t>
  </si>
  <si>
    <t xml:space="preserve"> Farm veterinarian visits</t>
  </si>
  <si>
    <t>Ewes &amp; Rams</t>
  </si>
  <si>
    <t># of treatments/year</t>
  </si>
  <si>
    <t>Amount used (ml/hd)</t>
  </si>
  <si>
    <t>Price ($/ml)</t>
  </si>
  <si>
    <t>% dewormed</t>
  </si>
  <si>
    <t>Dewormer (name product) - ewes</t>
  </si>
  <si>
    <t>Dewormer (name product) - rams</t>
  </si>
  <si>
    <t>Clostridial Vaccine - ewes</t>
  </si>
  <si>
    <t>Clostridial Vaccine - rams</t>
  </si>
  <si>
    <t>Coccidiostat</t>
  </si>
  <si>
    <t>Wfarm!K4</t>
  </si>
  <si>
    <t>Health Program Cost for Ewes &amp; Rams</t>
  </si>
  <si>
    <t>Wfarm!K5</t>
  </si>
  <si>
    <t>Wfarm!K6</t>
  </si>
  <si>
    <t>Wfarm!K7</t>
  </si>
  <si>
    <t>Dewormer</t>
  </si>
  <si>
    <t>Clostridial Vaccine (4ml)</t>
  </si>
  <si>
    <t>Selenium injection</t>
  </si>
  <si>
    <t>Other</t>
  </si>
  <si>
    <t>Health Program Cost for Lambs</t>
  </si>
  <si>
    <t>Miscellaneous</t>
  </si>
  <si>
    <t>Total Animal Health Program Costs</t>
  </si>
  <si>
    <t xml:space="preserve"> Livestock Replacement</t>
  </si>
  <si>
    <t xml:space="preserve">   ------</t>
  </si>
  <si>
    <t xml:space="preserve">  -------</t>
  </si>
  <si>
    <t xml:space="preserve">       Ram Purchase</t>
  </si>
  <si>
    <t xml:space="preserve">       Ram Lease</t>
  </si>
  <si>
    <t xml:space="preserve">       Breeding Ewe Purchase</t>
  </si>
  <si>
    <t xml:space="preserve">       Breeding Lamb Purchase</t>
  </si>
  <si>
    <t>&gt;$100,000</t>
  </si>
  <si>
    <t>Typical</t>
  </si>
  <si>
    <t>TIP</t>
  </si>
  <si>
    <t xml:space="preserve"> Hired Labour</t>
  </si>
  <si>
    <t xml:space="preserve"> -------</t>
  </si>
  <si>
    <t>--------</t>
  </si>
  <si>
    <t xml:space="preserve"> Breeding</t>
  </si>
  <si>
    <t xml:space="preserve"> Flock Identification and Management</t>
  </si>
  <si>
    <t>CIDR+hormone</t>
  </si>
  <si>
    <t>% of the flock</t>
  </si>
  <si>
    <t xml:space="preserve"> Predation Control</t>
  </si>
  <si>
    <t xml:space="preserve"> Flock management recordkeeping</t>
  </si>
  <si>
    <t>software</t>
  </si>
  <si>
    <t xml:space="preserve"> Marketing/Transportation</t>
  </si>
  <si>
    <t xml:space="preserve"> Other predation control</t>
  </si>
  <si>
    <t xml:space="preserve"> Utilities</t>
  </si>
  <si>
    <t xml:space="preserve"> Livestock Supplies</t>
  </si>
  <si>
    <t xml:space="preserve"> Custom Work/equipment rental</t>
  </si>
  <si>
    <t xml:space="preserve"> Motor vehicle expenses</t>
  </si>
  <si>
    <t xml:space="preserve"> Other</t>
  </si>
  <si>
    <t xml:space="preserve"> Accounting, office expenses</t>
  </si>
  <si>
    <t># of dogs</t>
  </si>
  <si>
    <t>$/dog</t>
  </si>
  <si>
    <t xml:space="preserve"> Fuel</t>
  </si>
  <si>
    <t xml:space="preserve"> Guardian dogs</t>
  </si>
  <si>
    <t xml:space="preserve"> Machinery Repair &amp; Maintenance</t>
  </si>
  <si>
    <t>$/head</t>
  </si>
  <si>
    <t>$/year</t>
  </si>
  <si>
    <t xml:space="preserve"> Building and Fence Repair &amp; Maintenance</t>
  </si>
  <si>
    <t xml:space="preserve"> Marketing</t>
  </si>
  <si>
    <t xml:space="preserve"> Land Rent</t>
  </si>
  <si>
    <t xml:space="preserve"> Transportation</t>
  </si>
  <si>
    <t xml:space="preserve"> General Variable Costs</t>
  </si>
  <si>
    <t xml:space="preserve"> OSF checkoff</t>
  </si>
  <si>
    <t xml:space="preserve"> Flock Identification</t>
  </si>
  <si>
    <t>National ID Tags</t>
  </si>
  <si>
    <t xml:space="preserve"> Interest on</t>
  </si>
  <si>
    <t xml:space="preserve"> Operating Capital</t>
  </si>
  <si>
    <t xml:space="preserve"> Enterprise</t>
  </si>
  <si>
    <t xml:space="preserve"> $/Ewe</t>
  </si>
  <si>
    <t xml:space="preserve"> $ Allocated</t>
  </si>
  <si>
    <t>Total Variable Costs</t>
  </si>
  <si>
    <t>Fixed Costs:</t>
  </si>
  <si>
    <t>%int</t>
  </si>
  <si>
    <t>%year</t>
  </si>
  <si>
    <t xml:space="preserve"> Depreciation</t>
  </si>
  <si>
    <t xml:space="preserve"> Interest on Term Loans</t>
  </si>
  <si>
    <t xml:space="preserve"> Insurance</t>
  </si>
  <si>
    <t>Low risk</t>
  </si>
  <si>
    <t>Moderate risk</t>
  </si>
  <si>
    <t>High risk</t>
  </si>
  <si>
    <t xml:space="preserve"> Interest on investment</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</si>
  <si>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</si>
  <si>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</si>
  <si>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</si>
  <si>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</si>
  <si>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</si>
  <si>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</si>
  <si>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</si>
  <si>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</si>
  <si>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Expected Break-even </t>
  </si>
  <si>
    <t>Per Lamb Sold</t>
  </si>
  <si>
    <t xml:space="preserve">   Cull Ewe</t>
  </si>
  <si>
    <t>Needed to Cover:</t>
  </si>
  <si>
    <t>Variable Costs</t>
  </si>
  <si>
    <t>Fixed Costs</t>
  </si>
  <si>
    <t>Total Costs</t>
  </si>
  <si>
    <t>Risk Analysis:</t>
  </si>
  <si>
    <t>Chance of at least breaking even        ==&gt;</t>
  </si>
  <si>
    <t>StdHd</t>
  </si>
  <si>
    <t>Chance of at least</t>
  </si>
  <si>
    <t>$/ewe return ==&gt;</t>
  </si>
  <si>
    <t>StdWtLamb</t>
  </si>
  <si>
    <t xml:space="preserve">Risk Indicator - </t>
  </si>
  <si>
    <t>Coefficient of variation                ==&gt;</t>
  </si>
  <si>
    <t>Returns $/Ewe</t>
  </si>
  <si>
    <t>Chances of at least</t>
  </si>
  <si>
    <t>VarLamb</t>
  </si>
  <si>
    <t>this return per ewe</t>
  </si>
  <si>
    <t>sumstd</t>
  </si>
  <si>
    <t>ewestd</t>
  </si>
  <si>
    <t xml:space="preserve">       17 %</t>
  </si>
  <si>
    <t xml:space="preserve">       33 %</t>
  </si>
  <si>
    <t>z</t>
  </si>
  <si>
    <t xml:space="preserve">       50 %</t>
  </si>
  <si>
    <t>v1</t>
  </si>
  <si>
    <t xml:space="preserve">       67 %</t>
  </si>
  <si>
    <t>v2</t>
  </si>
  <si>
    <t xml:space="preserve">       83 %</t>
  </si>
  <si>
    <t>p(vx)</t>
  </si>
  <si>
    <t/>
  </si>
  <si>
    <t xml:space="preserve">The user of this worksheet assumes all responsibility. </t>
  </si>
  <si>
    <t>For more information:</t>
  </si>
  <si>
    <t>OMAFRA Agricultural Information Contact Centre</t>
  </si>
  <si>
    <t>ag.info.omafra@ontario.ca</t>
  </si>
  <si>
    <t>1-877-424-1300</t>
  </si>
  <si>
    <t>End of worksheet</t>
  </si>
  <si>
    <t>Days on Feed</t>
  </si>
  <si>
    <t>Assumes one breeding is done on grass out of three</t>
  </si>
  <si>
    <t>Rams will be fed with the ewes while breeding</t>
  </si>
  <si>
    <t>Assumes rams will be on grass from beginning of May until the end of September -= 153 days</t>
  </si>
  <si>
    <t>Replacement Ewes</t>
  </si>
  <si>
    <t>Assumes ewes are fed with market lambs until 175 days + another 40 days under lamb section then goes to breeding at 215 days of age</t>
  </si>
  <si>
    <t>At 215 days enters replacement ewe section at breeding =150 days takes them to lambing =365 days of age at first lambing</t>
  </si>
  <si>
    <t>Assumes replacement ewes are put to pasture at 175 days of age and are bred on pasture then go to barn lamb in the barn and don't go to grass until after weaning</t>
  </si>
  <si>
    <t>Mature Ewes - if assume Breed in Aug, Dec and April - then following accounts for animals able to be on pasture for periods of time depending on the breeding date</t>
  </si>
  <si>
    <t># Days</t>
  </si>
  <si>
    <t xml:space="preserve">To account for acceleration - assume 1.3 lambings </t>
  </si>
  <si>
    <t>Only 317 days - have to use 1.5 to get 365 days of feed.</t>
  </si>
  <si>
    <t>Aug</t>
  </si>
  <si>
    <t>Dec</t>
  </si>
  <si>
    <t xml:space="preserve">Breeding </t>
  </si>
  <si>
    <t>x1.5</t>
  </si>
  <si>
    <t>Used</t>
  </si>
  <si>
    <t>33% of days on pasture = 14</t>
  </si>
  <si>
    <t>Barn</t>
  </si>
  <si>
    <t>Early/Mid Gest</t>
  </si>
  <si>
    <t>45% days on pasture = 115/255</t>
  </si>
  <si>
    <t>Late Ges</t>
  </si>
  <si>
    <t>Late Ges = 33% on pasture = 35/3=12</t>
  </si>
  <si>
    <t>Lamb/Lactation</t>
  </si>
  <si>
    <t>33% on pasture = 16/3 = 5</t>
  </si>
  <si>
    <t>Adds up to 366 days because of rounding took 1 day off maintenance in barn.</t>
  </si>
  <si>
    <t># lambs</t>
  </si>
  <si>
    <t>1933 born over 2 years</t>
  </si>
  <si>
    <t>Per year</t>
  </si>
  <si>
    <t>5% Bottle</t>
  </si>
  <si>
    <t>12% mort by 64 days</t>
  </si>
  <si>
    <t>3% mort finishing</t>
  </si>
  <si>
    <t>Lamb grower ration: 24% creep and 75% corn</t>
  </si>
  <si>
    <t>Finishing ration 20% creep and 80% corn</t>
  </si>
  <si>
    <t xml:space="preserve">Cull Ewes </t>
  </si>
  <si>
    <t>Ave 2018-23</t>
  </si>
  <si>
    <t>UpdatedApril 2024</t>
  </si>
  <si>
    <t>Price</t>
  </si>
  <si>
    <t>OSF ave cull price by month</t>
  </si>
  <si>
    <t xml:space="preserve">Cull Rams </t>
  </si>
  <si>
    <t xml:space="preserve">Price </t>
  </si>
  <si>
    <t>Ontario reported as sheep - not broken out</t>
  </si>
  <si>
    <t>Agriculture and Agri-Food Canada</t>
  </si>
  <si>
    <t>only up to Sep 25, 2023</t>
  </si>
  <si>
    <t>Price Lambs 95-109</t>
  </si>
  <si>
    <t>Realistic</t>
  </si>
  <si>
    <t>95-109</t>
  </si>
  <si>
    <t>From Agri-Food Canada</t>
  </si>
  <si>
    <t>Culls</t>
  </si>
  <si>
    <t>2023 weighted aves</t>
  </si>
  <si>
    <t>high, low, ave</t>
  </si>
  <si>
    <t>Year</t>
  </si>
  <si>
    <t>No Sold</t>
  </si>
  <si>
    <t>Weighted Ave Price</t>
  </si>
  <si>
    <t>Ave low</t>
  </si>
  <si>
    <t>Ave High</t>
  </si>
  <si>
    <t>6year as in table - ave, high and low weighted ave</t>
  </si>
  <si>
    <t>Price of Breeding Stock</t>
  </si>
  <si>
    <t>Stats Can ON</t>
  </si>
  <si>
    <t>Use</t>
  </si>
  <si>
    <t>Ewes from Jul 2023</t>
  </si>
  <si>
    <t>From Stats Canada</t>
  </si>
  <si>
    <t>Rams Jul 2023</t>
  </si>
  <si>
    <t xml:space="preserve">Price of wool </t>
  </si>
  <si>
    <t>Lb/fleece</t>
  </si>
  <si>
    <t>2021 ON</t>
  </si>
  <si>
    <t xml:space="preserve">Feed Costs </t>
  </si>
  <si>
    <t xml:space="preserve">$/bag </t>
  </si>
  <si>
    <t>$/kg</t>
  </si>
  <si>
    <t xml:space="preserve">Milk replacer </t>
  </si>
  <si>
    <t>71.00/20kg</t>
  </si>
  <si>
    <t>13.40/25kg</t>
  </si>
  <si>
    <t>Grower/Finisher Ration</t>
  </si>
  <si>
    <t>12.45/25kg</t>
  </si>
  <si>
    <t>Can be used as grower ration and fed until finishing</t>
  </si>
  <si>
    <t>Ave.</t>
  </si>
  <si>
    <t xml:space="preserve">Lamb Supplement </t>
  </si>
  <si>
    <t>17.95/25kg</t>
  </si>
  <si>
    <t xml:space="preserve">Used with on farm grain ration to finish </t>
  </si>
  <si>
    <t>Replacement Grower</t>
  </si>
  <si>
    <t>12.40/25kg</t>
  </si>
  <si>
    <t xml:space="preserve">Mineral </t>
  </si>
  <si>
    <t>29.35/25kg</t>
  </si>
  <si>
    <t xml:space="preserve">Salt </t>
  </si>
  <si>
    <t>8.00/20kg</t>
  </si>
  <si>
    <t>OSF</t>
  </si>
  <si>
    <t xml:space="preserve">Ewe supplement </t>
  </si>
  <si>
    <t>17.85/25kg</t>
  </si>
  <si>
    <t xml:space="preserve">used with on farm grain ration </t>
  </si>
  <si>
    <t xml:space="preserve">Pasture </t>
  </si>
  <si>
    <t xml:space="preserve"> estimate from Christine - pasture specialist Jan 2019</t>
  </si>
  <si>
    <t>65-79lbs</t>
  </si>
  <si>
    <t xml:space="preserve">Health Costs </t>
  </si>
  <si>
    <t>$/ml</t>
  </si>
  <si>
    <t>up to end of Sept</t>
  </si>
  <si>
    <t xml:space="preserve">Wormer </t>
  </si>
  <si>
    <t>normectin</t>
  </si>
  <si>
    <t>Clostridial vaccine</t>
  </si>
  <si>
    <t>Tasvax</t>
  </si>
  <si>
    <t xml:space="preserve">Miscellaneous </t>
  </si>
  <si>
    <t>antibiotics, vitamin injections</t>
  </si>
  <si>
    <t>Out of season cidr/hormone</t>
  </si>
  <si>
    <t>price used by Courtney Vriens</t>
  </si>
  <si>
    <t xml:space="preserve">Variable Costs </t>
  </si>
  <si>
    <t>$/ewe</t>
  </si>
  <si>
    <t>Flock ID</t>
  </si>
  <si>
    <t>assumes ewes are tagged, 20% loss in ewes, RFID tag</t>
  </si>
  <si>
    <t xml:space="preserve">$2 per tag - 1.5 needed for lambs and 20% loss </t>
  </si>
  <si>
    <t xml:space="preserve">Marketing </t>
  </si>
  <si>
    <t>OSMA liscense, commission and insurance, trucking</t>
  </si>
  <si>
    <t>license fee 1.80</t>
  </si>
  <si>
    <t>Predator Control</t>
  </si>
  <si>
    <t>assumes 1 dog per 130 ewes, $1/lb dog food, vet costs, replacement costs</t>
  </si>
  <si>
    <t>Shearing</t>
  </si>
  <si>
    <t>per head for 100 or more - &lt;100 $4.50 per head mileage?</t>
  </si>
  <si>
    <t xml:space="preserve">CSIP tag cost </t>
  </si>
  <si>
    <t>cost at woolgrowers on website sep 2023</t>
  </si>
  <si>
    <t>Capital Investments</t>
  </si>
  <si>
    <t>Total</t>
  </si>
  <si>
    <t>% allocated to Enterprise</t>
  </si>
  <si>
    <t>building</t>
  </si>
  <si>
    <t>mach</t>
  </si>
  <si>
    <t>FIPI</t>
  </si>
  <si>
    <t>Buildings</t>
  </si>
  <si>
    <t># of head housed</t>
  </si>
  <si>
    <t>sq ft required</t>
  </si>
  <si>
    <t>$  per sq ft</t>
  </si>
  <si>
    <t>years</t>
  </si>
  <si>
    <r>
      <t>Lambing and Lactation Barn</t>
    </r>
    <r>
      <rPr>
        <b/>
        <vertAlign val="superscript"/>
        <sz val="12"/>
        <color rgb="FF0000FF"/>
        <rFont val="Arial"/>
        <family val="2"/>
      </rPr>
      <t>[1]</t>
    </r>
  </si>
  <si>
    <t>Lamb Feeding Barn</t>
  </si>
  <si>
    <r>
      <t>Hay Storage</t>
    </r>
    <r>
      <rPr>
        <b/>
        <vertAlign val="superscript"/>
        <sz val="12"/>
        <color rgb="FF0000FF"/>
        <rFont val="Arial"/>
        <family val="2"/>
      </rPr>
      <t xml:space="preserve">[2] </t>
    </r>
  </si>
  <si>
    <t>Grain Storage</t>
  </si>
  <si>
    <t>Handling Facility</t>
  </si>
  <si>
    <t>Machinery and Equipment</t>
  </si>
  <si>
    <t>Tractor &amp; Loader</t>
  </si>
  <si>
    <t>Truck</t>
  </si>
  <si>
    <t>Miscellaneous (wagon, tools)</t>
  </si>
  <si>
    <t>Barn equipment</t>
  </si>
  <si>
    <t>Land/Pasture</t>
  </si>
  <si>
    <t>Number of acres</t>
  </si>
  <si>
    <t>Value per acre</t>
  </si>
  <si>
    <t>Fence 8,745 ft @ $3.20 /ft</t>
  </si>
  <si>
    <t>Water delivery system (2,640 ft)</t>
  </si>
  <si>
    <t>Total $</t>
  </si>
  <si>
    <t>$ per ewe</t>
  </si>
  <si>
    <t>Average investment</t>
  </si>
  <si>
    <t>Total Buildings and Machinery Investment - Sheep Enterprise</t>
  </si>
  <si>
    <t>[1] Only late pregnant and nursing ewes housed. Accommodate 2/3 flock at one time. Conventional construction.</t>
  </si>
  <si>
    <t>[2] Assumed hay is stored inside.</t>
  </si>
  <si>
    <t xml:space="preserve">Annual Costs of Capital Investment </t>
  </si>
  <si>
    <t>Repairs and maintenance</t>
  </si>
  <si>
    <t xml:space="preserve">
% of original cost</t>
  </si>
  <si>
    <t>$ per year</t>
  </si>
  <si>
    <t>buildings, fence</t>
  </si>
  <si>
    <t>Mach, water</t>
  </si>
  <si>
    <t>Fencing</t>
  </si>
  <si>
    <t>Water delivery system</t>
  </si>
  <si>
    <t>Depreciation</t>
  </si>
  <si>
    <t>Useful life</t>
  </si>
  <si>
    <t>Years</t>
  </si>
  <si>
    <t>Salvage value (value at end of useful life)</t>
  </si>
  <si>
    <t>% of original cost</t>
  </si>
  <si>
    <t>Interest rate on investment (weighted average of equity and borrowed investment)</t>
  </si>
  <si>
    <t>Insurance</t>
  </si>
  <si>
    <t>% of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</si>
</sst>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164" formatCode="&quot;$&quot;#,##0;[Red]\-&quot;$&quot;#,##0"/>
    <numFmt numFmtId="165" formatCode="&quot;$&quot;#,##0.00;[Red]\-&quot;$&quot;#,##0.00"/>
    <numFmt numFmtId="166" formatCode="_-&quot;$&quot;* #,##0.00_-;\-&quot;$&quot;* #,##0.00_-;_-&quot;$&quot;* &quot;-&quot;??_-;_-@_-"/>
    <numFmt numFmtId="167" formatCode=";;;"/>
    <numFmt numFmtId="168" formatCode="0.00_)"/>
    <numFmt numFmtId="169" formatCode="0_)"/>
    <numFmt numFmtId="170" formatCode="0.0_)"/>
    <numFmt numFmtId="171" formatCode="0.0%"/>
    <numFmt numFmtId="172" formatCode="&quot;$&quot;#,##0.0000_);\(&quot;$&quot;#,##0.0000\)"/>
    <numFmt numFmtId="173" formatCode="0.000_)"/>
    <numFmt numFmtId="174" formatCode="&quot;$&quot;#,##0.0;[Red]\-&quot;$&quot;#,##0.0"/>
  </numFmts>
  <fonts count="26">
    <font>
      <sz val="10"/>
      <name val="Arial"/>
    </font>
    <font>
      <sz val="10"/>
      <name val="Courier"/>
      <family val="3"/>
    </font>
    <font>
      <b/>
      <sz val="9"/>
      <color indexed="8"/>
      <name val="Arial"/>
      <family val="2"/>
    </font>
    <font>
      <sz val="9"/>
      <name val="Courier New"/>
      <family val="3"/>
    </font>
    <font>
      <sz val="8"/>
      <name val="Arial"/>
      <family val="2"/>
    </font>
    <font>
      <sz val="10"/>
      <name val="Arial"/>
      <family val="2"/>
    </font>
    <font>
      <b/>
      <sz val="12"/>
      <color indexed="8"/>
      <name val="Arial"/>
      <family val="2"/>
    </font>
    <font>
      <b/>
      <sz val="12"/>
      <color indexed="12"/>
      <name val="Arial"/>
      <family val="2"/>
    </font>
    <font>
      <sz val="12"/>
      <name val="Courier New"/>
      <family val="3"/>
    </font>
    <font>
      <sz val="12"/>
      <name val="Courier"/>
      <family val="3"/>
    </font>
    <font>
      <u/>
      <sz val="10"/>
      <color indexed="12"/>
      <name val="Arial"/>
      <family val="2"/>
    </font>
    <font>
      <u/>
      <sz val="12"/>
      <color indexed="12"/>
      <name val="Arial"/>
      <family val="2"/>
    </font>
    <font>
      <b/>
      <sz val="12"/>
      <name val="Arial"/>
      <family val="2"/>
    </font>
    <font>
      <sz val="8"/>
      <color indexed="81"/>
      <name val="Tahoma"/>
      <family val="2"/>
    </font>
    <font>
      <sz val="12"/>
      <name val="Arial"/>
      <family val="2"/>
    </font>
    <font>
      <b/>
      <sz val="12"/>
      <color rgb="FF0000FF"/>
      <name val="Arial"/>
      <family val="2"/>
    </font>
    <font>
      <sz val="10"/>
      <name val="Arial"/>
      <family val="2"/>
    </font>
    <font>
      <b/>
      <sz val="12"/>
      <color indexed="81"/>
      <name val="Tahoma"/>
      <family val="2"/>
    </font>
    <font>
      <sz val="10"/>
      <color indexed="81"/>
      <name val="Tahoma"/>
      <family val="2"/>
    </font>
    <font>
      <sz val="9"/>
      <color indexed="81"/>
      <name val="Tahoma"/>
      <family val="2"/>
    </font>
    <font>
      <b/>
      <sz val="9"/>
      <color indexed="81"/>
      <name val="Tahoma"/>
      <family val="2"/>
    </font>
    <font>
      <sz val="12"/>
      <color indexed="81"/>
      <name val="Tahoma"/>
      <family val="2"/>
    </font>
    <font>
      <b/>
      <sz val="14"/>
      <name val="Arial"/>
      <family val="2"/>
    </font>
    <font>
      <b/>
      <vertAlign val="superscript"/>
      <sz val="12"/>
      <color rgb="FF0000FF"/>
      <name val="Arial"/>
      <family val="2"/>
    </font>
    <font>
      <b/>
      <sz val="12"/>
      <color rgb="FFFF0000"/>
      <name val="Arial"/>
      <family val="2"/>
    </font>
    <font>
      <b/>
      <sz val="10"/>
      <name val="Arial"/>
      <family val="2"/>
    </font>
  </fonts>
  <fills count="10">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theme="0"/>
        <bgColor indexed="42"/>
      </patternFill>
    </fill>
    <fill>
      <patternFill patternType="solid">
        <fgColor theme="0"/>
        <bgColor indexed="64"/>
      </patternFill>
    </fill>
    <fill>
      <patternFill patternType="solid">
        <fgColor rgb="FFCCFFCC"/>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rgb="FFEFEFEF"/>
      </right>
      <top/>
      <bottom/>
      <diagonal/>
    </border>
  </borders>
  <cellStyleXfs count="12">
    <xf numFmtId="0" fontId="0" fillId="0" borderId="0"/>
    <xf numFmtId="166" fontId="5"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5" fillId="0" borderId="0"/>
    <xf numFmtId="38" fontId="14" fillId="0" borderId="0"/>
    <xf numFmtId="8" fontId="7" fillId="0" borderId="0">
      <protection locked="0"/>
    </xf>
    <xf numFmtId="8" fontId="14" fillId="0" borderId="0"/>
    <xf numFmtId="38" fontId="7" fillId="0" borderId="0">
      <protection locked="0"/>
    </xf>
    <xf numFmtId="6" fontId="14" fillId="0" borderId="0"/>
    <xf numFmtId="6" fontId="7" fillId="0" borderId="0">
      <protection locked="0"/>
    </xf>
    <xf numFmtId="9" fontId="16" fillId="0" borderId="0" applyFont="0" applyFill="0" applyBorder="0" applyAlignment="0" applyProtection="0"/>
  </cellStyleXfs>
  <cellXfs count="244">
    <xf numFmtId="0" fontId="0" fillId="0" borderId="0" xfId="0"/>
    <xf numFmtId="0" fontId="2" fillId="0" borderId="0" xfId="0" applyFont="1"/>
    <xf numFmtId="0" fontId="1" fillId="0" borderId="0" xfId="0" applyFont="1"/>
    <xf numFmtId="0" fontId="2" fillId="0" borderId="0" xfId="0" applyFont="1" applyAlignment="1">
      <alignment horizontal="center"/>
    </xf>
    <xf numFmtId="169" fontId="2" fillId="0" borderId="0" xfId="0" applyNumberFormat="1" applyFont="1" applyAlignment="1">
      <alignment horizontal="center"/>
    </xf>
    <xf numFmtId="37" fontId="2" fillId="0" borderId="0" xfId="0" applyNumberFormat="1" applyFont="1"/>
    <xf numFmtId="167" fontId="2" fillId="0" borderId="0" xfId="0" applyNumberFormat="1" applyFont="1"/>
    <xf numFmtId="169" fontId="2" fillId="0" borderId="0" xfId="0" applyNumberFormat="1" applyFont="1"/>
    <xf numFmtId="5" fontId="2" fillId="0" borderId="0" xfId="0" applyNumberFormat="1" applyFont="1"/>
    <xf numFmtId="167" fontId="2" fillId="0" borderId="0" xfId="0" applyNumberFormat="1" applyFont="1" applyAlignment="1">
      <alignment horizontal="center"/>
    </xf>
    <xf numFmtId="0" fontId="3" fillId="0" borderId="0" xfId="0" applyFont="1"/>
    <xf numFmtId="169" fontId="3" fillId="0" borderId="0" xfId="0" applyNumberFormat="1" applyFont="1"/>
    <xf numFmtId="37" fontId="3" fillId="0" borderId="0" xfId="0" applyNumberFormat="1" applyFont="1"/>
    <xf numFmtId="167" fontId="3" fillId="0" borderId="0" xfId="0" applyNumberFormat="1" applyFont="1"/>
    <xf numFmtId="0" fontId="2" fillId="6" borderId="0" xfId="0" applyFont="1" applyFill="1"/>
    <xf numFmtId="0" fontId="1" fillId="0" borderId="0" xfId="0" applyFont="1" applyAlignment="1">
      <alignment horizontal="center"/>
    </xf>
    <xf numFmtId="168" fontId="1" fillId="0" borderId="0" xfId="0" applyNumberFormat="1" applyFont="1" applyAlignment="1">
      <alignment horizontal="center"/>
    </xf>
    <xf numFmtId="169" fontId="1" fillId="0" borderId="0" xfId="0" applyNumberFormat="1" applyFont="1" applyAlignment="1">
      <alignment horizontal="center"/>
    </xf>
    <xf numFmtId="0" fontId="6" fillId="2" borderId="0" xfId="0" applyFont="1" applyFill="1" applyAlignment="1">
      <alignment horizontal="left"/>
    </xf>
    <xf numFmtId="0" fontId="6" fillId="2" borderId="1" xfId="0" applyFont="1" applyFill="1" applyBorder="1"/>
    <xf numFmtId="0" fontId="6" fillId="2" borderId="1" xfId="0" applyFont="1" applyFill="1" applyBorder="1" applyAlignment="1">
      <alignment horizontal="left"/>
    </xf>
    <xf numFmtId="0" fontId="6" fillId="2" borderId="2" xfId="0" applyFont="1" applyFill="1" applyBorder="1"/>
    <xf numFmtId="167" fontId="6" fillId="2" borderId="3" xfId="0" applyNumberFormat="1" applyFont="1" applyFill="1" applyBorder="1"/>
    <xf numFmtId="0" fontId="6" fillId="2" borderId="0" xfId="0" applyFont="1" applyFill="1"/>
    <xf numFmtId="7" fontId="6" fillId="2" borderId="0" xfId="0" applyNumberFormat="1" applyFont="1" applyFill="1"/>
    <xf numFmtId="5" fontId="6" fillId="2" borderId="4" xfId="0" applyNumberFormat="1" applyFont="1" applyFill="1" applyBorder="1" applyAlignment="1">
      <alignment horizontal="center"/>
    </xf>
    <xf numFmtId="0" fontId="6" fillId="2" borderId="3" xfId="0" applyFont="1" applyFill="1" applyBorder="1" applyAlignment="1">
      <alignment horizontal="left"/>
    </xf>
    <xf numFmtId="167" fontId="6" fillId="2" borderId="0" xfId="0" applyNumberFormat="1" applyFont="1" applyFill="1" applyAlignment="1">
      <alignment horizontal="left"/>
    </xf>
    <xf numFmtId="0" fontId="6" fillId="2" borderId="4" xfId="0" applyFont="1" applyFill="1" applyBorder="1"/>
    <xf numFmtId="0" fontId="7" fillId="3" borderId="5" xfId="0" applyFont="1" applyFill="1" applyBorder="1" applyAlignment="1" applyProtection="1">
      <alignment horizontal="center"/>
      <protection locked="0"/>
    </xf>
    <xf numFmtId="169" fontId="6" fillId="2" borderId="4" xfId="0" applyNumberFormat="1" applyFont="1" applyFill="1" applyBorder="1"/>
    <xf numFmtId="169" fontId="6" fillId="2" borderId="0" xfId="0" applyNumberFormat="1" applyFont="1" applyFill="1"/>
    <xf numFmtId="168" fontId="6" fillId="2" borderId="0" xfId="0" applyNumberFormat="1" applyFont="1" applyFill="1"/>
    <xf numFmtId="171" fontId="6" fillId="2" borderId="0" xfId="0" applyNumberFormat="1" applyFont="1" applyFill="1"/>
    <xf numFmtId="0" fontId="6" fillId="2" borderId="3" xfId="0" applyFont="1" applyFill="1" applyBorder="1"/>
    <xf numFmtId="10" fontId="6" fillId="2" borderId="0" xfId="0" applyNumberFormat="1" applyFont="1" applyFill="1"/>
    <xf numFmtId="0" fontId="6" fillId="2" borderId="0" xfId="0" applyFont="1" applyFill="1" applyAlignment="1">
      <alignment horizontal="center"/>
    </xf>
    <xf numFmtId="168" fontId="6" fillId="2" borderId="4" xfId="0" applyNumberFormat="1" applyFont="1" applyFill="1" applyBorder="1"/>
    <xf numFmtId="172" fontId="6" fillId="2" borderId="0" xfId="0" applyNumberFormat="1" applyFont="1" applyFill="1"/>
    <xf numFmtId="0" fontId="6" fillId="2" borderId="4" xfId="0" applyFont="1" applyFill="1" applyBorder="1" applyAlignment="1">
      <alignment horizontal="center"/>
    </xf>
    <xf numFmtId="168" fontId="7" fillId="3" borderId="5" xfId="0" applyNumberFormat="1" applyFont="1" applyFill="1" applyBorder="1" applyAlignment="1" applyProtection="1">
      <alignment horizontal="center"/>
      <protection locked="0"/>
    </xf>
    <xf numFmtId="168" fontId="6" fillId="2" borderId="0" xfId="0" applyNumberFormat="1" applyFont="1" applyFill="1" applyAlignment="1">
      <alignment horizontal="center"/>
    </xf>
    <xf numFmtId="169" fontId="6" fillId="2" borderId="4" xfId="0" applyNumberFormat="1" applyFont="1" applyFill="1" applyBorder="1" applyAlignment="1">
      <alignment horizontal="center"/>
    </xf>
    <xf numFmtId="169" fontId="6" fillId="2" borderId="0" xfId="0" applyNumberFormat="1" applyFont="1" applyFill="1" applyAlignment="1">
      <alignment horizontal="center"/>
    </xf>
    <xf numFmtId="169" fontId="7" fillId="3" borderId="5" xfId="0" applyNumberFormat="1" applyFont="1" applyFill="1" applyBorder="1" applyAlignment="1" applyProtection="1">
      <alignment horizontal="center"/>
      <protection locked="0"/>
    </xf>
    <xf numFmtId="0" fontId="6" fillId="2" borderId="3" xfId="0" applyFont="1" applyFill="1" applyBorder="1" applyAlignment="1">
      <alignment horizontal="fill"/>
    </xf>
    <xf numFmtId="0" fontId="6" fillId="2" borderId="0" xfId="0" applyFont="1" applyFill="1" applyAlignment="1">
      <alignment horizontal="fill"/>
    </xf>
    <xf numFmtId="0" fontId="6" fillId="2" borderId="4" xfId="0" applyFont="1" applyFill="1" applyBorder="1" applyAlignment="1">
      <alignment horizontal="fill"/>
    </xf>
    <xf numFmtId="39" fontId="6" fillId="2" borderId="0" xfId="0" applyNumberFormat="1" applyFont="1" applyFill="1"/>
    <xf numFmtId="37" fontId="6" fillId="2" borderId="0" xfId="0" applyNumberFormat="1" applyFont="1" applyFill="1"/>
    <xf numFmtId="0" fontId="6" fillId="4" borderId="7" xfId="0" applyFont="1" applyFill="1" applyBorder="1" applyAlignment="1">
      <alignment horizontal="fill"/>
    </xf>
    <xf numFmtId="169" fontId="7" fillId="3" borderId="6" xfId="0" applyNumberFormat="1" applyFont="1" applyFill="1" applyBorder="1" applyAlignment="1" applyProtection="1">
      <alignment horizontal="center"/>
      <protection locked="0"/>
    </xf>
    <xf numFmtId="5" fontId="6" fillId="2" borderId="0" xfId="0" applyNumberFormat="1" applyFont="1" applyFill="1"/>
    <xf numFmtId="0" fontId="7" fillId="5" borderId="0" xfId="0" applyFont="1" applyFill="1" applyAlignment="1" applyProtection="1">
      <alignment horizontal="left"/>
      <protection locked="0"/>
    </xf>
    <xf numFmtId="37" fontId="6" fillId="2" borderId="4" xfId="0" applyNumberFormat="1" applyFont="1" applyFill="1" applyBorder="1"/>
    <xf numFmtId="37" fontId="6" fillId="2" borderId="4" xfId="0" applyNumberFormat="1" applyFont="1" applyFill="1" applyBorder="1" applyAlignment="1">
      <alignment horizontal="center"/>
    </xf>
    <xf numFmtId="0" fontId="6" fillId="2" borderId="4" xfId="0" applyFont="1" applyFill="1" applyBorder="1" applyAlignment="1">
      <alignment horizontal="right"/>
    </xf>
    <xf numFmtId="167" fontId="6" fillId="2" borderId="4" xfId="0" applyNumberFormat="1" applyFont="1" applyFill="1" applyBorder="1"/>
    <xf numFmtId="170" fontId="6" fillId="2" borderId="0" xfId="0" applyNumberFormat="1" applyFont="1" applyFill="1"/>
    <xf numFmtId="9" fontId="6" fillId="2" borderId="0" xfId="0" applyNumberFormat="1" applyFont="1" applyFill="1" applyAlignment="1">
      <alignment horizontal="center"/>
    </xf>
    <xf numFmtId="167" fontId="6" fillId="2" borderId="4" xfId="0" applyNumberFormat="1" applyFont="1" applyFill="1" applyBorder="1" applyAlignment="1">
      <alignment horizontal="left"/>
    </xf>
    <xf numFmtId="0" fontId="6" fillId="2" borderId="4" xfId="0" applyFont="1" applyFill="1" applyBorder="1" applyAlignment="1">
      <alignment horizontal="left"/>
    </xf>
    <xf numFmtId="0" fontId="6" fillId="4" borderId="0" xfId="0" applyFont="1" applyFill="1"/>
    <xf numFmtId="168" fontId="6" fillId="4" borderId="0" xfId="0" applyNumberFormat="1" applyFont="1" applyFill="1"/>
    <xf numFmtId="169" fontId="6" fillId="4" borderId="0" xfId="0" applyNumberFormat="1" applyFont="1" applyFill="1"/>
    <xf numFmtId="7" fontId="6" fillId="4" borderId="0" xfId="0" applyNumberFormat="1" applyFont="1" applyFill="1"/>
    <xf numFmtId="167" fontId="6" fillId="4" borderId="0" xfId="0" applyNumberFormat="1" applyFont="1" applyFill="1"/>
    <xf numFmtId="37" fontId="6" fillId="4" borderId="0" xfId="0" applyNumberFormat="1" applyFont="1" applyFill="1"/>
    <xf numFmtId="9" fontId="6" fillId="4" borderId="0" xfId="0" applyNumberFormat="1" applyFont="1" applyFill="1"/>
    <xf numFmtId="0" fontId="8" fillId="0" borderId="0" xfId="0" applyFont="1"/>
    <xf numFmtId="169" fontId="8" fillId="0" borderId="0" xfId="0" applyNumberFormat="1" applyFont="1"/>
    <xf numFmtId="168" fontId="8" fillId="0" borderId="0" xfId="0" applyNumberFormat="1" applyFont="1"/>
    <xf numFmtId="7" fontId="8" fillId="0" borderId="0" xfId="0" applyNumberFormat="1" applyFont="1"/>
    <xf numFmtId="172" fontId="8" fillId="0" borderId="0" xfId="0" applyNumberFormat="1" applyFont="1"/>
    <xf numFmtId="170" fontId="8" fillId="0" borderId="0" xfId="0" applyNumberFormat="1" applyFont="1"/>
    <xf numFmtId="39" fontId="8" fillId="0" borderId="0" xfId="0" applyNumberFormat="1" applyFont="1"/>
    <xf numFmtId="167" fontId="8" fillId="0" borderId="0" xfId="0" applyNumberFormat="1" applyFont="1"/>
    <xf numFmtId="10" fontId="8" fillId="0" borderId="0" xfId="0" applyNumberFormat="1" applyFont="1"/>
    <xf numFmtId="9" fontId="8" fillId="0" borderId="0" xfId="0" applyNumberFormat="1" applyFont="1"/>
    <xf numFmtId="37" fontId="8" fillId="0" borderId="0" xfId="0" applyNumberFormat="1" applyFont="1"/>
    <xf numFmtId="0" fontId="9" fillId="0" borderId="0" xfId="0" applyFont="1"/>
    <xf numFmtId="0" fontId="6" fillId="4" borderId="4" xfId="0" applyFont="1" applyFill="1" applyBorder="1"/>
    <xf numFmtId="0" fontId="6" fillId="4" borderId="3" xfId="0" applyFont="1" applyFill="1" applyBorder="1"/>
    <xf numFmtId="0" fontId="6" fillId="4" borderId="3" xfId="0" quotePrefix="1" applyFont="1" applyFill="1" applyBorder="1" applyAlignment="1">
      <alignment horizontal="center"/>
    </xf>
    <xf numFmtId="0" fontId="9" fillId="0" borderId="3" xfId="0" applyFont="1" applyBorder="1"/>
    <xf numFmtId="0" fontId="11" fillId="4" borderId="3" xfId="2" applyFont="1" applyFill="1" applyBorder="1" applyAlignment="1" applyProtection="1">
      <alignment horizontal="center"/>
    </xf>
    <xf numFmtId="0" fontId="6" fillId="4" borderId="0" xfId="0" applyFont="1" applyFill="1" applyAlignment="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xf numFmtId="169" fontId="6" fillId="4" borderId="8" xfId="0" applyNumberFormat="1" applyFont="1" applyFill="1" applyBorder="1"/>
    <xf numFmtId="169" fontId="6" fillId="4" borderId="11" xfId="0" applyNumberFormat="1" applyFont="1" applyFill="1" applyBorder="1"/>
    <xf numFmtId="0" fontId="7" fillId="3" borderId="12" xfId="0" applyFont="1" applyFill="1" applyBorder="1" applyAlignment="1" applyProtection="1">
      <alignment horizontal="center"/>
      <protection locked="0"/>
    </xf>
    <xf numFmtId="0" fontId="6" fillId="7" borderId="7" xfId="0" applyFont="1" applyFill="1" applyBorder="1"/>
    <xf numFmtId="0" fontId="6" fillId="7" borderId="7" xfId="0" applyFont="1" applyFill="1" applyBorder="1" applyAlignment="1">
      <alignment horizontal="left"/>
    </xf>
    <xf numFmtId="0" fontId="6" fillId="7" borderId="7" xfId="0" applyFont="1" applyFill="1" applyBorder="1" applyAlignment="1">
      <alignment horizontal="center"/>
    </xf>
    <xf numFmtId="0" fontId="12" fillId="5" borderId="0" xfId="0" applyFont="1" applyFill="1" applyAlignment="1">
      <alignment horizontal="center"/>
    </xf>
    <xf numFmtId="167" fontId="6" fillId="2" borderId="0" xfId="0" applyNumberFormat="1" applyFont="1" applyFill="1"/>
    <xf numFmtId="0" fontId="7" fillId="5" borderId="0" xfId="0" applyFont="1" applyFill="1" applyAlignment="1" applyProtection="1">
      <alignment horizontal="center"/>
      <protection locked="0"/>
    </xf>
    <xf numFmtId="0" fontId="6" fillId="7" borderId="13" xfId="0" applyFont="1" applyFill="1" applyBorder="1"/>
    <xf numFmtId="0" fontId="7" fillId="8" borderId="7" xfId="0" applyFont="1" applyFill="1" applyBorder="1" applyAlignment="1" applyProtection="1">
      <alignment horizontal="center"/>
      <protection locked="0"/>
    </xf>
    <xf numFmtId="168" fontId="6" fillId="7" borderId="7" xfId="0" applyNumberFormat="1" applyFont="1" applyFill="1" applyBorder="1"/>
    <xf numFmtId="169" fontId="6" fillId="7" borderId="7" xfId="0" applyNumberFormat="1" applyFont="1" applyFill="1" applyBorder="1"/>
    <xf numFmtId="169" fontId="6" fillId="7" borderId="14" xfId="0" applyNumberFormat="1" applyFont="1" applyFill="1" applyBorder="1"/>
    <xf numFmtId="0" fontId="12" fillId="5" borderId="0" xfId="0" applyFont="1" applyFill="1" applyAlignment="1">
      <alignment horizontal="right"/>
    </xf>
    <xf numFmtId="0" fontId="7" fillId="5" borderId="3" xfId="0" applyFont="1" applyFill="1" applyBorder="1" applyAlignment="1" applyProtection="1">
      <alignment horizontal="left"/>
      <protection locked="0"/>
    </xf>
    <xf numFmtId="0" fontId="14" fillId="0" borderId="0" xfId="0" applyFont="1"/>
    <xf numFmtId="0" fontId="12" fillId="0" borderId="0" xfId="0" applyFont="1"/>
    <xf numFmtId="0" fontId="6" fillId="2" borderId="0" xfId="0" applyFont="1" applyFill="1" applyAlignment="1">
      <alignment horizontal="center" wrapText="1"/>
    </xf>
    <xf numFmtId="173" fontId="7" fillId="3" borderId="5" xfId="0" applyNumberFormat="1" applyFont="1" applyFill="1" applyBorder="1" applyAlignment="1" applyProtection="1">
      <alignment horizontal="center"/>
      <protection locked="0"/>
    </xf>
    <xf numFmtId="1" fontId="6" fillId="2" borderId="0" xfId="0" applyNumberFormat="1" applyFont="1" applyFill="1" applyAlignment="1">
      <alignment horizontal="center"/>
    </xf>
    <xf numFmtId="165" fontId="14" fillId="0" borderId="0" xfId="0" applyNumberFormat="1" applyFont="1"/>
    <xf numFmtId="174" fontId="14" fillId="0" borderId="0" xfId="0" applyNumberFormat="1" applyFont="1"/>
    <xf numFmtId="165" fontId="12" fillId="0" borderId="0" xfId="0" applyNumberFormat="1" applyFont="1"/>
    <xf numFmtId="0" fontId="12" fillId="0" borderId="0" xfId="3" applyFont="1"/>
    <xf numFmtId="166" fontId="14" fillId="0" borderId="0" xfId="0" applyNumberFormat="1" applyFont="1"/>
    <xf numFmtId="0" fontId="14" fillId="9" borderId="3" xfId="4" applyFont="1" applyFill="1" applyBorder="1"/>
    <xf numFmtId="0" fontId="14" fillId="9" borderId="0" xfId="4" applyFont="1" applyFill="1"/>
    <xf numFmtId="0" fontId="12" fillId="9" borderId="0" xfId="4" applyFont="1" applyFill="1"/>
    <xf numFmtId="166" fontId="12" fillId="9" borderId="4" xfId="1" applyFont="1" applyFill="1" applyBorder="1" applyAlignment="1" applyProtection="1">
      <alignment horizontal="center"/>
    </xf>
    <xf numFmtId="0" fontId="6" fillId="2" borderId="0" xfId="0" applyFont="1" applyFill="1" applyAlignment="1">
      <alignment horizontal="left" indent="2"/>
    </xf>
    <xf numFmtId="0" fontId="12" fillId="9" borderId="3" xfId="4" applyFont="1" applyFill="1" applyBorder="1"/>
    <xf numFmtId="0" fontId="12" fillId="9" borderId="0" xfId="4" applyFont="1" applyFill="1" applyAlignment="1">
      <alignment horizontal="left"/>
    </xf>
    <xf numFmtId="169" fontId="12" fillId="9" borderId="0" xfId="4" applyNumberFormat="1" applyFont="1" applyFill="1" applyAlignment="1">
      <alignment horizontal="center" wrapText="1"/>
    </xf>
    <xf numFmtId="0" fontId="12" fillId="9" borderId="0" xfId="4" applyFont="1" applyFill="1" applyAlignment="1">
      <alignment horizontal="center" wrapText="1"/>
    </xf>
    <xf numFmtId="169" fontId="12" fillId="9" borderId="3" xfId="4" applyNumberFormat="1" applyFont="1" applyFill="1" applyBorder="1"/>
    <xf numFmtId="0" fontId="7" fillId="9" borderId="3" xfId="4" applyFont="1" applyFill="1" applyBorder="1" applyAlignment="1" applyProtection="1">
      <alignment horizontal="left"/>
      <protection locked="0"/>
    </xf>
    <xf numFmtId="0" fontId="7" fillId="9" borderId="0" xfId="4" applyFont="1" applyFill="1" applyAlignment="1" applyProtection="1">
      <alignment horizontal="left"/>
      <protection locked="0"/>
    </xf>
    <xf numFmtId="0" fontId="12" fillId="9" borderId="3" xfId="4" applyFont="1" applyFill="1" applyBorder="1" applyAlignment="1">
      <alignment horizontal="left"/>
    </xf>
    <xf numFmtId="170" fontId="12" fillId="9" borderId="0" xfId="4" applyNumberFormat="1" applyFont="1" applyFill="1"/>
    <xf numFmtId="170" fontId="7" fillId="3" borderId="5" xfId="0" applyNumberFormat="1" applyFont="1" applyFill="1" applyBorder="1" applyAlignment="1" applyProtection="1">
      <alignment horizontal="center"/>
      <protection locked="0"/>
    </xf>
    <xf numFmtId="0" fontId="6" fillId="2" borderId="15" xfId="0" applyFont="1" applyFill="1" applyBorder="1" applyAlignment="1">
      <alignment horizontal="left"/>
    </xf>
    <xf numFmtId="0" fontId="6" fillId="2" borderId="16" xfId="0" applyFont="1" applyFill="1" applyBorder="1"/>
    <xf numFmtId="39" fontId="6" fillId="2" borderId="16" xfId="0" applyNumberFormat="1" applyFont="1" applyFill="1" applyBorder="1"/>
    <xf numFmtId="0" fontId="6" fillId="2" borderId="16"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left"/>
    </xf>
    <xf numFmtId="0" fontId="6" fillId="2" borderId="19" xfId="0" applyFont="1" applyFill="1" applyBorder="1"/>
    <xf numFmtId="168" fontId="6" fillId="2" borderId="19" xfId="0" applyNumberFormat="1" applyFont="1" applyFill="1" applyBorder="1"/>
    <xf numFmtId="169" fontId="6" fillId="2" borderId="20" xfId="0" applyNumberFormat="1" applyFont="1" applyFill="1" applyBorder="1" applyAlignment="1">
      <alignment horizontal="center"/>
    </xf>
    <xf numFmtId="0" fontId="12" fillId="9" borderId="15" xfId="4" applyFont="1" applyFill="1" applyBorder="1"/>
    <xf numFmtId="0" fontId="12" fillId="9" borderId="16" xfId="4" applyFont="1" applyFill="1" applyBorder="1"/>
    <xf numFmtId="0" fontId="12" fillId="9" borderId="17" xfId="4" applyFont="1" applyFill="1" applyBorder="1"/>
    <xf numFmtId="0" fontId="12" fillId="9" borderId="18" xfId="4" applyFont="1" applyFill="1" applyBorder="1"/>
    <xf numFmtId="0" fontId="12" fillId="9" borderId="19" xfId="4" applyFont="1" applyFill="1" applyBorder="1"/>
    <xf numFmtId="0" fontId="12" fillId="9" borderId="19" xfId="4" applyFont="1" applyFill="1" applyBorder="1" applyAlignment="1">
      <alignment horizontal="left"/>
    </xf>
    <xf numFmtId="2" fontId="12" fillId="9" borderId="0" xfId="4" applyNumberFormat="1" applyFont="1" applyFill="1" applyAlignment="1">
      <alignment horizontal="center" wrapText="1"/>
    </xf>
    <xf numFmtId="2" fontId="12" fillId="9" borderId="0" xfId="4" applyNumberFormat="1" applyFont="1" applyFill="1" applyAlignment="1">
      <alignment horizontal="center"/>
    </xf>
    <xf numFmtId="2" fontId="12" fillId="9" borderId="19" xfId="4" applyNumberFormat="1" applyFont="1" applyFill="1" applyBorder="1" applyAlignment="1">
      <alignment horizontal="center"/>
    </xf>
    <xf numFmtId="2" fontId="6" fillId="2" borderId="19" xfId="0" applyNumberFormat="1" applyFont="1" applyFill="1" applyBorder="1" applyAlignment="1">
      <alignment horizontal="center"/>
    </xf>
    <xf numFmtId="0" fontId="9" fillId="0" borderId="9" xfId="0" applyFont="1" applyBorder="1"/>
    <xf numFmtId="0" fontId="6" fillId="4" borderId="1" xfId="0" applyFont="1" applyFill="1" applyBorder="1" applyAlignment="1">
      <alignment horizontal="fill"/>
    </xf>
    <xf numFmtId="0" fontId="6" fillId="4" borderId="2" xfId="0" applyFont="1" applyFill="1" applyBorder="1" applyAlignment="1">
      <alignment horizontal="fill"/>
    </xf>
    <xf numFmtId="0" fontId="6" fillId="4" borderId="3" xfId="0" quotePrefix="1" applyFont="1" applyFill="1" applyBorder="1" applyAlignment="1">
      <alignment horizontal="left"/>
    </xf>
    <xf numFmtId="0" fontId="11" fillId="4" borderId="8" xfId="2" applyFont="1" applyFill="1" applyBorder="1" applyAlignment="1" applyProtection="1">
      <alignment horizontal="center"/>
    </xf>
    <xf numFmtId="0" fontId="12" fillId="9" borderId="16" xfId="0" applyFont="1" applyFill="1" applyBorder="1"/>
    <xf numFmtId="0" fontId="14" fillId="9" borderId="16" xfId="0" applyFont="1" applyFill="1" applyBorder="1"/>
    <xf numFmtId="0" fontId="22" fillId="9" borderId="9" xfId="0" applyFont="1" applyFill="1" applyBorder="1"/>
    <xf numFmtId="0" fontId="14" fillId="9" borderId="3" xfId="0" applyFont="1" applyFill="1" applyBorder="1"/>
    <xf numFmtId="0" fontId="14" fillId="9" borderId="4" xfId="0" applyFont="1" applyFill="1" applyBorder="1"/>
    <xf numFmtId="0" fontId="12" fillId="9" borderId="3" xfId="0" applyFont="1" applyFill="1" applyBorder="1"/>
    <xf numFmtId="0" fontId="14" fillId="9" borderId="3" xfId="0" applyFont="1" applyFill="1" applyBorder="1" applyAlignment="1">
      <alignment horizontal="left" indent="2"/>
    </xf>
    <xf numFmtId="0" fontId="12" fillId="9" borderId="15" xfId="0" applyFont="1" applyFill="1" applyBorder="1"/>
    <xf numFmtId="0" fontId="12" fillId="9" borderId="4" xfId="0" applyFont="1" applyFill="1" applyBorder="1" applyAlignment="1">
      <alignment horizontal="center"/>
    </xf>
    <xf numFmtId="0" fontId="14" fillId="9" borderId="10" xfId="0" applyFont="1" applyFill="1" applyBorder="1"/>
    <xf numFmtId="0" fontId="22" fillId="9" borderId="1" xfId="0" applyFont="1" applyFill="1" applyBorder="1"/>
    <xf numFmtId="0" fontId="14" fillId="9" borderId="0" xfId="0" applyFont="1" applyFill="1"/>
    <xf numFmtId="0" fontId="12" fillId="9" borderId="0" xfId="0" applyFont="1" applyFill="1"/>
    <xf numFmtId="0" fontId="14" fillId="9" borderId="0" xfId="0" applyFont="1" applyFill="1" applyAlignment="1">
      <alignment horizontal="left" indent="2"/>
    </xf>
    <xf numFmtId="0" fontId="12" fillId="9" borderId="0" xfId="0" applyFont="1" applyFill="1" applyAlignment="1">
      <alignment horizontal="center" wrapText="1"/>
    </xf>
    <xf numFmtId="171" fontId="15" fillId="9" borderId="0" xfId="0" applyNumberFormat="1" applyFont="1" applyFill="1" applyAlignment="1">
      <alignment horizontal="center"/>
    </xf>
    <xf numFmtId="0" fontId="14" fillId="9" borderId="0" xfId="0" applyFont="1" applyFill="1" applyAlignment="1">
      <alignment horizontal="center"/>
    </xf>
    <xf numFmtId="0" fontId="12" fillId="9" borderId="0" xfId="0" applyFont="1" applyFill="1" applyAlignment="1">
      <alignment horizontal="center"/>
    </xf>
    <xf numFmtId="0" fontId="15" fillId="9" borderId="0" xfId="0" applyFont="1" applyFill="1" applyAlignment="1">
      <alignment horizontal="center"/>
    </xf>
    <xf numFmtId="10" fontId="15" fillId="9" borderId="0" xfId="11" applyNumberFormat="1" applyFont="1" applyFill="1" applyBorder="1" applyAlignment="1">
      <alignment horizontal="center"/>
    </xf>
    <xf numFmtId="10" fontId="15" fillId="9" borderId="8" xfId="0" applyNumberFormat="1" applyFont="1" applyFill="1" applyBorder="1" applyAlignment="1">
      <alignment horizontal="center"/>
    </xf>
    <xf numFmtId="164" fontId="15" fillId="9" borderId="0" xfId="0" applyNumberFormat="1" applyFont="1" applyFill="1"/>
    <xf numFmtId="0" fontId="15" fillId="9" borderId="0" xfId="0" applyFont="1" applyFill="1"/>
    <xf numFmtId="164" fontId="12" fillId="9" borderId="0" xfId="0" applyNumberFormat="1" applyFont="1" applyFill="1"/>
    <xf numFmtId="0" fontId="12" fillId="9" borderId="4" xfId="0" applyFont="1" applyFill="1" applyBorder="1"/>
    <xf numFmtId="166" fontId="12" fillId="9" borderId="0" xfId="1" applyFont="1" applyFill="1" applyBorder="1"/>
    <xf numFmtId="166" fontId="12" fillId="9" borderId="4" xfId="0" applyNumberFormat="1" applyFont="1" applyFill="1" applyBorder="1"/>
    <xf numFmtId="165" fontId="12" fillId="9" borderId="0" xfId="0" applyNumberFormat="1" applyFont="1" applyFill="1"/>
    <xf numFmtId="165" fontId="12" fillId="9" borderId="8" xfId="0" applyNumberFormat="1" applyFont="1" applyFill="1" applyBorder="1"/>
    <xf numFmtId="166" fontId="12" fillId="9" borderId="11" xfId="0" applyNumberFormat="1" applyFont="1" applyFill="1" applyBorder="1"/>
    <xf numFmtId="0" fontId="14" fillId="9" borderId="20" xfId="0" applyFont="1" applyFill="1" applyBorder="1"/>
    <xf numFmtId="165" fontId="12" fillId="9" borderId="4" xfId="0" applyNumberFormat="1" applyFont="1" applyFill="1" applyBorder="1"/>
    <xf numFmtId="0" fontId="15" fillId="9" borderId="3" xfId="0" applyFont="1" applyFill="1" applyBorder="1" applyAlignment="1">
      <alignment horizontal="left" indent="2"/>
    </xf>
    <xf numFmtId="1" fontId="6" fillId="2" borderId="4" xfId="0" applyNumberFormat="1" applyFont="1" applyFill="1" applyBorder="1" applyAlignment="1">
      <alignment horizontal="center"/>
    </xf>
    <xf numFmtId="2" fontId="12" fillId="9" borderId="4" xfId="1" applyNumberFormat="1" applyFont="1" applyFill="1" applyBorder="1" applyAlignment="1" applyProtection="1">
      <alignment horizontal="center"/>
    </xf>
    <xf numFmtId="2" fontId="12" fillId="9" borderId="4" xfId="4" applyNumberFormat="1" applyFont="1" applyFill="1" applyBorder="1" applyAlignment="1">
      <alignment horizontal="center" wrapText="1"/>
    </xf>
    <xf numFmtId="2" fontId="12" fillId="9" borderId="20" xfId="1" applyNumberFormat="1" applyFont="1" applyFill="1" applyBorder="1" applyAlignment="1" applyProtection="1">
      <alignment horizontal="center"/>
    </xf>
    <xf numFmtId="2" fontId="12" fillId="9" borderId="4" xfId="4" applyNumberFormat="1" applyFont="1" applyFill="1" applyBorder="1" applyAlignment="1">
      <alignment horizontal="center"/>
    </xf>
    <xf numFmtId="164" fontId="12" fillId="9" borderId="0" xfId="0" applyNumberFormat="1" applyFont="1" applyFill="1" applyAlignment="1">
      <alignment horizontal="center"/>
    </xf>
    <xf numFmtId="0" fontId="15" fillId="9" borderId="0" xfId="0" applyFont="1" applyFill="1" applyAlignment="1">
      <alignment horizontal="left" indent="2"/>
    </xf>
    <xf numFmtId="0" fontId="14" fillId="9" borderId="8" xfId="0" applyFont="1" applyFill="1" applyBorder="1"/>
    <xf numFmtId="2" fontId="7" fillId="3" borderId="5" xfId="0" applyNumberFormat="1" applyFont="1" applyFill="1" applyBorder="1" applyAlignment="1" applyProtection="1">
      <alignment horizontal="center"/>
      <protection locked="0"/>
    </xf>
    <xf numFmtId="1" fontId="7" fillId="3" borderId="5" xfId="0" applyNumberFormat="1" applyFont="1" applyFill="1" applyBorder="1" applyAlignment="1" applyProtection="1">
      <alignment horizontal="center"/>
      <protection locked="0"/>
    </xf>
    <xf numFmtId="0" fontId="12" fillId="9" borderId="4" xfId="0" applyFont="1" applyFill="1" applyBorder="1" applyAlignment="1">
      <alignment horizontal="center" wrapText="1"/>
    </xf>
    <xf numFmtId="9" fontId="7" fillId="3" borderId="5" xfId="11" applyFont="1" applyFill="1" applyBorder="1" applyAlignment="1" applyProtection="1">
      <alignment horizontal="center"/>
      <protection locked="0"/>
    </xf>
    <xf numFmtId="164" fontId="14" fillId="0" borderId="0" xfId="0" applyNumberFormat="1" applyFont="1"/>
    <xf numFmtId="168" fontId="1" fillId="0" borderId="0" xfId="0" applyNumberFormat="1" applyFont="1"/>
    <xf numFmtId="0" fontId="1" fillId="0" borderId="0" xfId="0" applyFont="1" applyAlignment="1">
      <alignment horizontal="left"/>
    </xf>
    <xf numFmtId="2" fontId="6" fillId="2" borderId="4" xfId="0" applyNumberFormat="1" applyFont="1" applyFill="1" applyBorder="1" applyAlignment="1">
      <alignment horizontal="center"/>
    </xf>
    <xf numFmtId="0" fontId="12" fillId="9" borderId="0" xfId="4" applyFont="1" applyFill="1" applyAlignment="1">
      <alignment horizontal="center"/>
    </xf>
    <xf numFmtId="168" fontId="12" fillId="5" borderId="4" xfId="0" applyNumberFormat="1" applyFont="1" applyFill="1" applyBorder="1" applyAlignment="1">
      <alignment horizontal="center"/>
    </xf>
    <xf numFmtId="2" fontId="6" fillId="2" borderId="0" xfId="0" applyNumberFormat="1" applyFont="1" applyFill="1" applyAlignment="1">
      <alignment horizontal="center"/>
    </xf>
    <xf numFmtId="0" fontId="6" fillId="2" borderId="3" xfId="0" applyFont="1" applyFill="1" applyBorder="1" applyAlignment="1">
      <alignment horizontal="left" wrapText="1"/>
    </xf>
    <xf numFmtId="168" fontId="6" fillId="2" borderId="0" xfId="0" applyNumberFormat="1" applyFont="1" applyFill="1" applyAlignment="1">
      <alignment horizontal="center" wrapText="1"/>
    </xf>
    <xf numFmtId="171" fontId="6" fillId="2" borderId="0" xfId="0" applyNumberFormat="1" applyFont="1" applyFill="1" applyAlignment="1">
      <alignment wrapText="1"/>
    </xf>
    <xf numFmtId="169" fontId="6" fillId="2" borderId="4" xfId="0" applyNumberFormat="1" applyFont="1" applyFill="1" applyBorder="1" applyAlignment="1">
      <alignment wrapText="1"/>
    </xf>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horizontal="center" wrapText="1"/>
    </xf>
    <xf numFmtId="169" fontId="1" fillId="0" borderId="0" xfId="0" applyNumberFormat="1" applyFont="1" applyAlignment="1">
      <alignment horizontal="center" wrapText="1"/>
    </xf>
    <xf numFmtId="0" fontId="1" fillId="0" borderId="0" xfId="0" applyFont="1" applyAlignment="1">
      <alignment wrapText="1"/>
    </xf>
    <xf numFmtId="2" fontId="6" fillId="2" borderId="0" xfId="0" applyNumberFormat="1" applyFont="1" applyFill="1"/>
    <xf numFmtId="169" fontId="24" fillId="3" borderId="5" xfId="0" applyNumberFormat="1" applyFont="1" applyFill="1" applyBorder="1" applyAlignment="1" applyProtection="1">
      <alignment horizontal="center"/>
      <protection locked="0"/>
    </xf>
    <xf numFmtId="0" fontId="6" fillId="2" borderId="1" xfId="0" applyFont="1" applyFill="1" applyBorder="1" applyAlignment="1">
      <alignment horizontal="left" wrapText="1"/>
    </xf>
    <xf numFmtId="168" fontId="24" fillId="3" borderId="5" xfId="0" applyNumberFormat="1" applyFont="1" applyFill="1" applyBorder="1" applyAlignment="1" applyProtection="1">
      <alignment horizontal="center"/>
      <protection locked="0"/>
    </xf>
    <xf numFmtId="169" fontId="6" fillId="2" borderId="14" xfId="0" applyNumberFormat="1" applyFont="1" applyFill="1" applyBorder="1" applyAlignment="1">
      <alignment wrapText="1"/>
    </xf>
    <xf numFmtId="1" fontId="6" fillId="2" borderId="13" xfId="0" applyNumberFormat="1" applyFont="1" applyFill="1" applyBorder="1" applyAlignment="1">
      <alignment horizontal="center" vertical="center"/>
    </xf>
    <xf numFmtId="0" fontId="6" fillId="2" borderId="0" xfId="0" applyFont="1" applyFill="1" applyAlignment="1">
      <alignment horizontal="left" wrapText="1"/>
    </xf>
    <xf numFmtId="1" fontId="6" fillId="2" borderId="0" xfId="0" applyNumberFormat="1" applyFont="1" applyFill="1" applyAlignment="1">
      <alignment horizontal="center" vertical="center"/>
    </xf>
    <xf numFmtId="169" fontId="7" fillId="3" borderId="0" xfId="0" applyNumberFormat="1" applyFont="1" applyFill="1" applyAlignment="1" applyProtection="1">
      <alignment horizontal="center"/>
      <protection locked="0"/>
    </xf>
    <xf numFmtId="167" fontId="6" fillId="2" borderId="9" xfId="0" applyNumberFormat="1" applyFont="1" applyFill="1" applyBorder="1"/>
    <xf numFmtId="0" fontId="24" fillId="9" borderId="3" xfId="4" applyFont="1" applyFill="1" applyBorder="1"/>
    <xf numFmtId="171" fontId="14" fillId="0" borderId="0" xfId="11" applyNumberFormat="1" applyFont="1"/>
    <xf numFmtId="171" fontId="14" fillId="9" borderId="0" xfId="11" applyNumberFormat="1" applyFont="1" applyFill="1" applyBorder="1"/>
    <xf numFmtId="168" fontId="7" fillId="3" borderId="13" xfId="0" applyNumberFormat="1" applyFont="1" applyFill="1" applyBorder="1" applyAlignment="1" applyProtection="1">
      <alignment horizontal="left"/>
      <protection locked="0"/>
    </xf>
    <xf numFmtId="168" fontId="7" fillId="3" borderId="5" xfId="0" applyNumberFormat="1" applyFont="1" applyFill="1" applyBorder="1" applyAlignment="1" applyProtection="1">
      <alignment horizontal="left"/>
      <protection locked="0"/>
    </xf>
    <xf numFmtId="0" fontId="6" fillId="2" borderId="0" xfId="0" applyFont="1" applyFill="1" applyAlignment="1">
      <alignment horizontal="right"/>
    </xf>
    <xf numFmtId="168" fontId="7" fillId="3" borderId="14" xfId="0" applyNumberFormat="1" applyFont="1" applyFill="1" applyBorder="1" applyAlignment="1" applyProtection="1">
      <alignment horizontal="left"/>
      <protection locked="0"/>
    </xf>
    <xf numFmtId="0" fontId="0" fillId="0" borderId="21" xfId="0" applyBorder="1"/>
    <xf numFmtId="0" fontId="15" fillId="3" borderId="5" xfId="0" applyFont="1" applyFill="1" applyBorder="1" applyAlignment="1" applyProtection="1">
      <alignment horizontal="center"/>
      <protection locked="0"/>
    </xf>
    <xf numFmtId="168" fontId="15" fillId="3" borderId="5" xfId="0" applyNumberFormat="1" applyFont="1" applyFill="1" applyBorder="1" applyAlignment="1" applyProtection="1">
      <alignment horizontal="center"/>
      <protection locked="0"/>
    </xf>
    <xf numFmtId="0" fontId="0" fillId="0" borderId="0" xfId="0" applyAlignment="1">
      <alignment wrapText="1"/>
    </xf>
    <xf numFmtId="0" fontId="5" fillId="0" borderId="0" xfId="0" applyFont="1"/>
    <xf numFmtId="173" fontId="15" fillId="3" borderId="5" xfId="0" applyNumberFormat="1" applyFont="1" applyFill="1" applyBorder="1" applyAlignment="1" applyProtection="1">
      <alignment horizontal="center"/>
      <protection locked="0"/>
    </xf>
    <xf numFmtId="169" fontId="15" fillId="3" borderId="5" xfId="0" applyNumberFormat="1" applyFont="1" applyFill="1" applyBorder="1" applyAlignment="1" applyProtection="1">
      <alignment horizontal="center"/>
      <protection locked="0"/>
    </xf>
    <xf numFmtId="9" fontId="15" fillId="3" borderId="5" xfId="11" applyFont="1" applyFill="1" applyBorder="1" applyAlignment="1" applyProtection="1">
      <alignment horizontal="center"/>
      <protection locked="0"/>
    </xf>
    <xf numFmtId="0" fontId="12" fillId="2" borderId="1" xfId="0" applyFont="1" applyFill="1" applyBorder="1" applyAlignment="1">
      <alignment horizontal="left"/>
    </xf>
    <xf numFmtId="7" fontId="6" fillId="2" borderId="0" xfId="0" applyNumberFormat="1" applyFont="1" applyFill="1" applyAlignment="1">
      <alignment horizontal="center"/>
    </xf>
    <xf numFmtId="0" fontId="25" fillId="0" borderId="0" xfId="0" applyFont="1"/>
  </cellXfs>
  <cellStyles count="12">
    <cellStyle name="Curr ($1,234) L Black" xfId="9" xr:uid="{00000000-0005-0000-0000-000000000000}"/>
    <cellStyle name="Curr ($1,234) U Blue" xfId="10" xr:uid="{00000000-0005-0000-0000-000001000000}"/>
    <cellStyle name="Curr ($1,234.00) L Black" xfId="7" xr:uid="{00000000-0005-0000-0000-000002000000}"/>
    <cellStyle name="Curr ($1,234.00) U Blue" xfId="6" xr:uid="{00000000-0005-0000-0000-000003000000}"/>
    <cellStyle name="Curr (1,234) L Black" xfId="5" xr:uid="{00000000-0005-0000-0000-000004000000}"/>
    <cellStyle name="Curr (1,234) U Blue" xfId="8" xr:uid="{00000000-0005-0000-0000-000005000000}"/>
    <cellStyle name="Currency" xfId="1" builtinId="4"/>
    <cellStyle name="Hyperlink" xfId="2" builtinId="8"/>
    <cellStyle name="Normal" xfId="0" builtinId="0"/>
    <cellStyle name="Normal 2" xfId="4" xr:uid="{00000000-0005-0000-0000-000009000000}"/>
    <cellStyle name="Normal_Raspc2" xfId="3" xr:uid="{00000000-0005-0000-0000-00000A000000}"/>
    <cellStyle name="Percent" xfId="11" builtinId="5"/>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0000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4.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54429</xdr:rowOff>
    </xdr:from>
    <xdr:to>
      <xdr:col>0</xdr:col>
      <xdr:colOff>1458450</xdr:colOff>
      <xdr:row>2</xdr:row>
      <xdr:rowOff>122852</xdr:rowOff>
    </xdr:to>
    <xdr:pic>
      <xdr:nvPicPr>
        <xdr:cNvPr id="4" name="Picture 3" descr="This is the Ontario Trillium logo">
          <a:extLst>
            <a:ext uri="{FF2B5EF4-FFF2-40B4-BE49-F238E27FC236}">
              <a16:creationId xmlns:a16="http://schemas.microsoft.com/office/drawing/2014/main" id="{A9A9A66C-CC04-4478-82F8-1FD74E94366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48816"/>
          <a:ext cx="1454640" cy="325016"/>
        </a:xfrm>
        <a:prstGeom prst="rect">
          <a:avLst/>
        </a:prstGeom>
        <a:solidFill>
          <a:srgbClr val="CCFFCC"/>
        </a:solid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Desktop/Program%20Files/Bear2000/Budget%20Files/Crops/Forages/Silage.b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Desktop/Program%20Files/Bear2000/Budget%20Files/Crops/Grains/Corn.bp"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9"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6"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Desktop/Program%20Files/Bear2000/Budget%20Files/Livestock/Poultry/turkey.bp"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updatedbudgets/livestock/Sheep/2011/lamb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updatedbudgets/livestock/Sheep/2011/Lambo.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ook12"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Book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y"/>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ET"/>
      <sheetName val="TOBACCO"/>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LAG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OA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EIF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rkey"/>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BFIN"/>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BO"/>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YER"/>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U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AK427"/>
  <sheetViews>
    <sheetView showGridLines="0" tabSelected="1" zoomScaleNormal="100" workbookViewId="0">
      <selection activeCell="A5" sqref="A5"/>
    </sheetView>
  </sheetViews>
  <sheetFormatPr defaultColWidth="11" defaultRowHeight="13.35"/>
  <cols>
    <col min="1" max="1" width="30.7109375" style="80" customWidth="1"/>
    <col min="2" max="2" width="28" style="80" customWidth="1"/>
    <col min="3" max="3" width="19.5703125" style="80" customWidth="1"/>
    <col min="4" max="4" width="15.28515625" style="80" customWidth="1"/>
    <col min="5" max="9" width="16.7109375" style="80" customWidth="1"/>
    <col min="10" max="10" width="11" style="2" hidden="1" customWidth="1"/>
    <col min="11" max="27" width="9" style="2" hidden="1" customWidth="1"/>
    <col min="28" max="28" width="16.5703125" style="2" hidden="1" customWidth="1"/>
    <col min="29" max="32" width="11" style="2" hidden="1" customWidth="1"/>
    <col min="33" max="33" width="43.7109375" style="2" hidden="1" customWidth="1"/>
    <col min="34" max="37" width="11" style="2" hidden="1" customWidth="1"/>
    <col min="38" max="41" width="11" style="2" customWidth="1"/>
    <col min="42" max="42" width="13.42578125" style="2" customWidth="1"/>
    <col min="43" max="50" width="8.85546875" style="2" customWidth="1"/>
    <col min="51" max="51" width="6.5703125" style="2" customWidth="1"/>
    <col min="52" max="241" width="11" style="2" customWidth="1"/>
    <col min="242" max="242" width="8.85546875" style="2" customWidth="1"/>
    <col min="243" max="243" width="3" style="2" customWidth="1"/>
    <col min="244" max="250" width="11" style="2" customWidth="1"/>
    <col min="251" max="251" width="8.85546875" style="2" customWidth="1"/>
    <col min="252" max="252" width="3" style="2" customWidth="1"/>
    <col min="253" max="16384" width="11" style="2"/>
  </cols>
  <sheetData>
    <row r="1" spans="1:36" ht="15.4">
      <c r="A1" s="114" t="s">
        <v>0</v>
      </c>
    </row>
    <row r="2" spans="1:36" ht="20.100000000000001">
      <c r="A2" s="225" t="s">
        <v>1</v>
      </c>
      <c r="B2" s="19"/>
      <c r="C2" s="20" t="s">
        <v>2</v>
      </c>
      <c r="D2" s="19"/>
      <c r="E2" s="19"/>
      <c r="F2" s="19"/>
      <c r="G2" s="19"/>
      <c r="H2" s="241" t="s">
        <v>3</v>
      </c>
      <c r="I2" s="21"/>
      <c r="J2" s="1"/>
      <c r="K2" s="3"/>
      <c r="L2" s="3"/>
      <c r="M2" s="3"/>
      <c r="N2" s="15"/>
      <c r="O2" s="15"/>
      <c r="P2" s="15"/>
      <c r="Q2" s="15"/>
      <c r="R2" s="15"/>
      <c r="S2" s="15"/>
      <c r="T2" s="15"/>
      <c r="U2" s="15"/>
      <c r="V2" s="15"/>
      <c r="W2" s="15"/>
      <c r="X2" s="15"/>
      <c r="Y2" s="15"/>
      <c r="Z2" s="15"/>
      <c r="AA2" s="15"/>
      <c r="AB2" s="16">
        <f ca="1">D244</f>
        <v>-25.365177749398043</v>
      </c>
      <c r="AI2" s="243" t="s">
        <v>4</v>
      </c>
      <c r="AJ2" s="243" t="s">
        <v>5</v>
      </c>
    </row>
    <row r="3" spans="1:36" ht="15.4">
      <c r="A3" s="22">
        <v>305</v>
      </c>
      <c r="B3" s="23"/>
      <c r="C3" s="23"/>
      <c r="D3" s="23"/>
      <c r="E3" s="23"/>
      <c r="F3" s="18" t="s">
        <v>6</v>
      </c>
      <c r="G3" s="18"/>
      <c r="H3" s="24"/>
      <c r="I3" s="25">
        <f ca="1">AB2</f>
        <v>-25.365177749398043</v>
      </c>
      <c r="J3" s="1"/>
      <c r="K3" s="3"/>
      <c r="L3" s="3"/>
      <c r="M3" s="3"/>
      <c r="N3" s="15"/>
      <c r="O3" s="15"/>
      <c r="P3" s="15"/>
      <c r="Q3" s="15"/>
      <c r="R3" s="15"/>
      <c r="S3" s="15"/>
      <c r="T3" s="15"/>
      <c r="U3" s="15"/>
      <c r="V3" s="15"/>
      <c r="W3" s="15"/>
      <c r="X3" s="15"/>
      <c r="Y3" s="15"/>
      <c r="Z3" s="15"/>
      <c r="AA3" s="15"/>
      <c r="AB3" s="15">
        <f>MROUND(E5*(E6+E7)/100,1)</f>
        <v>72</v>
      </c>
      <c r="AI3" t="s">
        <v>7</v>
      </c>
      <c r="AJ3" t="s">
        <v>8</v>
      </c>
    </row>
    <row r="4" spans="1:36" ht="15.4">
      <c r="A4" s="105" t="s">
        <v>9</v>
      </c>
      <c r="B4" s="23"/>
      <c r="C4" s="23"/>
      <c r="D4" s="23"/>
      <c r="E4" s="23"/>
      <c r="F4" s="23"/>
      <c r="G4" s="23"/>
      <c r="H4" s="27" t="s">
        <v>10</v>
      </c>
      <c r="I4" s="28"/>
      <c r="J4" s="1"/>
      <c r="K4" s="3"/>
      <c r="L4" s="3"/>
      <c r="M4" s="3"/>
      <c r="N4" s="15"/>
      <c r="O4" s="15"/>
      <c r="P4" s="15"/>
      <c r="Q4" s="15"/>
      <c r="R4" s="15"/>
      <c r="S4" s="15"/>
      <c r="T4" s="15"/>
      <c r="U4" s="15"/>
      <c r="V4" s="15"/>
      <c r="W4" s="15"/>
      <c r="X4" s="15"/>
      <c r="Y4" s="15"/>
      <c r="Z4" s="15"/>
      <c r="AA4" s="15"/>
      <c r="AB4" s="15">
        <f ca="1">IF(E5&lt;=0,0,+I222)</f>
        <v>201671.98843975927</v>
      </c>
      <c r="AI4" t="s">
        <v>11</v>
      </c>
      <c r="AJ4" s="237" t="s">
        <v>12</v>
      </c>
    </row>
    <row r="5" spans="1:36" ht="15.4">
      <c r="A5" s="26" t="s">
        <v>13</v>
      </c>
      <c r="B5" s="23"/>
      <c r="C5" s="23"/>
      <c r="D5" s="18" t="s">
        <v>14</v>
      </c>
      <c r="E5" s="29">
        <v>400</v>
      </c>
      <c r="F5" s="120"/>
      <c r="G5" s="120"/>
      <c r="H5" s="23"/>
      <c r="I5" s="28"/>
      <c r="J5" s="1"/>
      <c r="K5" s="3"/>
      <c r="L5" s="3"/>
      <c r="M5" s="3"/>
      <c r="N5" s="15"/>
      <c r="O5" s="15"/>
      <c r="P5" s="15"/>
      <c r="Q5" s="15"/>
      <c r="R5" s="15"/>
      <c r="S5" s="15"/>
      <c r="T5" s="15"/>
      <c r="U5" s="15"/>
      <c r="V5" s="15"/>
      <c r="W5" s="15"/>
      <c r="X5" s="15"/>
      <c r="Y5" s="15"/>
      <c r="Z5" s="15"/>
      <c r="AA5" s="15"/>
      <c r="AB5" s="15">
        <f ca="1">IF(E5&lt;=0,0,+I234)</f>
        <v>33247.211759999998</v>
      </c>
      <c r="AI5" t="s">
        <v>15</v>
      </c>
      <c r="AJ5" s="237" t="s">
        <v>16</v>
      </c>
    </row>
    <row r="6" spans="1:36" ht="15.4">
      <c r="A6" s="26" t="s">
        <v>17</v>
      </c>
      <c r="B6" s="23"/>
      <c r="C6" s="23"/>
      <c r="D6" s="18" t="s">
        <v>18</v>
      </c>
      <c r="E6" s="29">
        <v>15</v>
      </c>
      <c r="F6" s="23"/>
      <c r="G6" s="23"/>
      <c r="H6" s="23"/>
      <c r="I6" s="28"/>
      <c r="J6" s="1"/>
      <c r="K6" s="3"/>
      <c r="L6" s="3"/>
      <c r="M6" s="3"/>
      <c r="N6" s="15"/>
      <c r="O6" s="15"/>
      <c r="P6" s="15"/>
      <c r="Q6" s="15"/>
      <c r="R6" s="15"/>
      <c r="S6" s="15"/>
      <c r="T6" s="15"/>
      <c r="U6" s="15"/>
      <c r="V6" s="15"/>
      <c r="W6" s="15"/>
      <c r="X6" s="15"/>
      <c r="Y6" s="15"/>
      <c r="Z6" s="15"/>
      <c r="AA6" s="15"/>
      <c r="AB6" s="15">
        <f>IF(E5&lt;=0,0,+E238)</f>
        <v>224773.12910000005</v>
      </c>
      <c r="AI6" t="s">
        <v>19</v>
      </c>
      <c r="AJ6" t="s">
        <v>20</v>
      </c>
    </row>
    <row r="7" spans="1:36" ht="15.4">
      <c r="A7" s="26" t="s">
        <v>21</v>
      </c>
      <c r="B7" s="23"/>
      <c r="C7" s="23"/>
      <c r="D7" s="18" t="s">
        <v>18</v>
      </c>
      <c r="E7" s="29">
        <v>3</v>
      </c>
      <c r="F7" s="23"/>
      <c r="G7" s="23"/>
      <c r="H7" s="23"/>
      <c r="I7" s="30"/>
      <c r="J7" s="1"/>
      <c r="K7" s="3"/>
      <c r="L7" s="3"/>
      <c r="M7" s="3"/>
      <c r="N7" s="15"/>
      <c r="O7" s="15"/>
      <c r="P7" s="15"/>
      <c r="Q7" s="15"/>
      <c r="R7" s="15"/>
      <c r="S7" s="15"/>
      <c r="T7" s="15"/>
      <c r="U7" s="15"/>
      <c r="V7" s="15"/>
      <c r="W7" s="15"/>
      <c r="X7" s="15"/>
      <c r="Y7" s="15"/>
      <c r="Z7" s="15"/>
      <c r="AA7" s="15"/>
      <c r="AB7" s="15">
        <f>E27*((100-E28)/100)</f>
        <v>936.14400000000012</v>
      </c>
      <c r="AC7" s="2">
        <f>E5*D22/100*E26/100</f>
        <v>693.44</v>
      </c>
      <c r="AI7" t="s">
        <v>22</v>
      </c>
      <c r="AJ7" t="s">
        <v>23</v>
      </c>
    </row>
    <row r="8" spans="1:36" ht="15.4">
      <c r="A8" s="26" t="s">
        <v>24</v>
      </c>
      <c r="B8" s="23"/>
      <c r="C8" s="23"/>
      <c r="D8" s="18" t="s">
        <v>25</v>
      </c>
      <c r="E8" s="29">
        <v>140</v>
      </c>
      <c r="F8" s="23"/>
      <c r="G8" s="23"/>
      <c r="H8" s="23"/>
      <c r="I8" s="30"/>
      <c r="J8" s="1"/>
      <c r="K8" s="3"/>
      <c r="L8" s="3"/>
      <c r="M8" s="3"/>
      <c r="N8" s="15"/>
      <c r="O8" s="15"/>
      <c r="P8" s="15"/>
      <c r="Q8" s="15"/>
      <c r="R8" s="15"/>
      <c r="S8" s="15"/>
      <c r="T8" s="15"/>
      <c r="U8" s="15"/>
      <c r="V8" s="15"/>
      <c r="W8" s="15"/>
      <c r="X8" s="15"/>
      <c r="Y8" s="15"/>
      <c r="Z8" s="15"/>
      <c r="AA8" s="15"/>
      <c r="AB8" s="15">
        <f>F27*((100-F28)/100)</f>
        <v>822.42599999999993</v>
      </c>
      <c r="AC8" s="2">
        <f>(F26*(D22/100)-8)/100*E5</f>
        <v>613.04</v>
      </c>
      <c r="AI8" t="s">
        <v>26</v>
      </c>
      <c r="AJ8" s="237" t="s">
        <v>27</v>
      </c>
    </row>
    <row r="9" spans="1:36" ht="15.4">
      <c r="A9" s="26" t="s">
        <v>28</v>
      </c>
      <c r="B9" s="23"/>
      <c r="C9" s="31"/>
      <c r="D9" s="18" t="s">
        <v>29</v>
      </c>
      <c r="E9" s="29">
        <v>158</v>
      </c>
      <c r="F9" s="23"/>
      <c r="G9" s="23"/>
      <c r="H9" s="23"/>
      <c r="I9" s="28"/>
      <c r="J9" s="1"/>
      <c r="K9" s="3"/>
      <c r="L9" s="3"/>
      <c r="M9" s="3"/>
      <c r="N9" s="15"/>
      <c r="O9" s="15"/>
      <c r="P9" s="15"/>
      <c r="Q9" s="15"/>
      <c r="R9" s="15"/>
      <c r="S9" s="15"/>
      <c r="T9" s="15"/>
      <c r="U9" s="15"/>
      <c r="V9" s="15"/>
      <c r="W9" s="15"/>
      <c r="X9" s="15"/>
      <c r="Y9" s="15"/>
      <c r="Z9" s="15"/>
      <c r="AA9" s="15"/>
      <c r="AB9" s="15">
        <f>G27*((100-G28)/100)</f>
        <v>699.74400000000003</v>
      </c>
      <c r="AI9" t="s">
        <v>30</v>
      </c>
      <c r="AJ9" t="s">
        <v>31</v>
      </c>
    </row>
    <row r="10" spans="1:36" ht="15.4">
      <c r="A10" s="26" t="s">
        <v>32</v>
      </c>
      <c r="B10" s="23"/>
      <c r="C10" s="23"/>
      <c r="D10" s="18" t="s">
        <v>14</v>
      </c>
      <c r="E10" s="29">
        <f>AB3</f>
        <v>72</v>
      </c>
      <c r="F10" s="23"/>
      <c r="G10" s="23"/>
      <c r="H10" s="23"/>
      <c r="I10" s="28"/>
      <c r="J10" s="1"/>
      <c r="K10" s="3"/>
      <c r="L10" s="3"/>
      <c r="M10" s="3"/>
      <c r="N10" s="15"/>
      <c r="O10" s="15"/>
      <c r="P10" s="15"/>
      <c r="Q10" s="15"/>
      <c r="R10" s="15"/>
      <c r="S10" s="15"/>
      <c r="T10" s="15"/>
      <c r="U10" s="15"/>
      <c r="V10" s="15"/>
      <c r="W10" s="15"/>
      <c r="X10" s="15"/>
      <c r="Y10" s="15"/>
      <c r="Z10" s="15"/>
      <c r="AA10" s="15"/>
      <c r="AB10" s="15">
        <f>IF(E5&lt;=0,0,J198)</f>
        <v>35908.843723400598</v>
      </c>
      <c r="AI10" t="s">
        <v>33</v>
      </c>
      <c r="AJ10" t="s">
        <v>34</v>
      </c>
    </row>
    <row r="11" spans="1:36" ht="15.4">
      <c r="A11" s="26" t="s">
        <v>35</v>
      </c>
      <c r="B11" s="23"/>
      <c r="C11" s="32"/>
      <c r="D11" s="18" t="s">
        <v>14</v>
      </c>
      <c r="E11" s="29">
        <v>6</v>
      </c>
      <c r="F11" s="24"/>
      <c r="G11" s="24"/>
      <c r="H11" s="33"/>
      <c r="I11" s="30"/>
      <c r="J11" s="1"/>
      <c r="K11" s="3"/>
      <c r="L11" s="3"/>
      <c r="M11" s="3"/>
      <c r="N11" s="15"/>
      <c r="O11" s="15"/>
      <c r="P11" s="15"/>
      <c r="Q11" s="15"/>
      <c r="R11" s="15"/>
      <c r="S11" s="15"/>
      <c r="T11" s="15"/>
      <c r="U11" s="15"/>
      <c r="V11" s="15"/>
      <c r="W11" s="15"/>
      <c r="X11" s="15"/>
      <c r="Y11" s="15"/>
      <c r="Z11" s="15"/>
      <c r="AA11" s="15"/>
      <c r="AB11" s="15" t="str">
        <f>" "&amp;FIXED(E5,0,TRUE)&amp;" Ewes"</f>
        <v xml:space="preserve"> 400 Ewes</v>
      </c>
      <c r="AI11" t="s">
        <v>36</v>
      </c>
      <c r="AJ11" t="s">
        <v>37</v>
      </c>
    </row>
    <row r="12" spans="1:36" ht="15.4">
      <c r="A12" s="26" t="s">
        <v>38</v>
      </c>
      <c r="B12" s="23"/>
      <c r="C12" s="32"/>
      <c r="D12" s="18" t="s">
        <v>14</v>
      </c>
      <c r="E12" s="29">
        <v>2</v>
      </c>
      <c r="F12" s="24"/>
      <c r="G12" s="24"/>
      <c r="H12" s="33"/>
      <c r="I12" s="30"/>
      <c r="J12" s="1"/>
      <c r="K12" s="3"/>
      <c r="L12" s="3"/>
      <c r="M12" s="3"/>
      <c r="N12" s="15"/>
      <c r="O12" s="15"/>
      <c r="P12" s="15"/>
      <c r="Q12" s="15"/>
      <c r="R12" s="15"/>
      <c r="S12" s="15"/>
      <c r="T12" s="15"/>
      <c r="U12" s="15"/>
      <c r="V12" s="15"/>
      <c r="W12" s="15"/>
      <c r="X12" s="15"/>
      <c r="Y12" s="15"/>
      <c r="Z12" s="15"/>
      <c r="AA12" s="15"/>
      <c r="AB12" s="15">
        <f>E5</f>
        <v>400</v>
      </c>
      <c r="AI12" t="s">
        <v>39</v>
      </c>
      <c r="AJ12" t="s">
        <v>40</v>
      </c>
    </row>
    <row r="13" spans="1:36" ht="15.4">
      <c r="A13" s="26" t="s">
        <v>41</v>
      </c>
      <c r="B13" s="23"/>
      <c r="C13" s="32"/>
      <c r="D13" s="18" t="s">
        <v>25</v>
      </c>
      <c r="E13" s="29">
        <v>200</v>
      </c>
      <c r="F13" s="24"/>
      <c r="G13" s="24"/>
      <c r="H13" s="33"/>
      <c r="I13" s="30"/>
      <c r="J13" s="1"/>
      <c r="K13" s="3"/>
      <c r="L13" s="3"/>
      <c r="M13" s="3"/>
      <c r="N13" s="15"/>
      <c r="O13" s="15"/>
      <c r="P13" s="15"/>
      <c r="Q13" s="15"/>
      <c r="R13" s="15"/>
      <c r="S13" s="15"/>
      <c r="T13" s="15"/>
      <c r="U13" s="15"/>
      <c r="V13" s="15"/>
      <c r="W13" s="15"/>
      <c r="X13" s="15"/>
      <c r="Y13" s="15"/>
      <c r="Z13" s="15"/>
      <c r="AA13" s="15"/>
      <c r="AB13" s="15">
        <f>(E35*F35)/F47</f>
        <v>0</v>
      </c>
      <c r="AI13" t="s">
        <v>42</v>
      </c>
      <c r="AJ13" t="s">
        <v>43</v>
      </c>
    </row>
    <row r="14" spans="1:36" ht="15.4">
      <c r="A14" s="26" t="s">
        <v>44</v>
      </c>
      <c r="B14" s="23"/>
      <c r="C14" s="32"/>
      <c r="D14" s="18" t="s">
        <v>29</v>
      </c>
      <c r="E14" s="29">
        <v>158</v>
      </c>
      <c r="F14" s="24"/>
      <c r="G14" s="24"/>
      <c r="H14" s="33"/>
      <c r="I14" s="30" t="s">
        <v>45</v>
      </c>
      <c r="J14" s="1"/>
      <c r="K14" s="3"/>
      <c r="L14" s="3"/>
      <c r="M14" s="3"/>
      <c r="N14" s="15"/>
      <c r="O14" s="15"/>
      <c r="P14" s="15"/>
      <c r="Q14" s="15"/>
      <c r="R14" s="15"/>
      <c r="S14" s="15"/>
      <c r="T14" s="15"/>
      <c r="U14" s="15"/>
      <c r="V14" s="15"/>
      <c r="W14" s="15"/>
      <c r="X14" s="15"/>
      <c r="Y14" s="15"/>
      <c r="Z14" s="15"/>
      <c r="AA14" s="15"/>
      <c r="AB14" s="15">
        <f>H35*E5</f>
        <v>0</v>
      </c>
      <c r="AI14" t="s">
        <v>46</v>
      </c>
      <c r="AJ14" t="s">
        <v>47</v>
      </c>
    </row>
    <row r="15" spans="1:36" ht="15.4">
      <c r="A15" s="26"/>
      <c r="B15" s="23"/>
      <c r="C15" s="32"/>
      <c r="D15" s="18"/>
      <c r="E15" s="24"/>
      <c r="F15" s="24"/>
      <c r="G15" s="24"/>
      <c r="H15" s="33"/>
      <c r="I15" s="30"/>
      <c r="J15" s="1"/>
      <c r="K15" s="3"/>
      <c r="L15" s="3">
        <v>0</v>
      </c>
      <c r="M15" s="3"/>
      <c r="N15" s="15"/>
      <c r="O15" s="15"/>
      <c r="P15" s="15"/>
      <c r="Q15" s="15"/>
      <c r="R15" s="15"/>
      <c r="S15" s="15"/>
      <c r="T15" s="15"/>
      <c r="U15" s="15"/>
      <c r="V15" s="15"/>
      <c r="W15" s="15"/>
      <c r="X15" s="15"/>
      <c r="Y15" s="15"/>
      <c r="Z15" s="15"/>
      <c r="AA15" s="15"/>
      <c r="AB15" s="17">
        <f>I187+I189+I190</f>
        <v>1400</v>
      </c>
      <c r="AI15" t="s">
        <v>48</v>
      </c>
      <c r="AJ15" t="s">
        <v>49</v>
      </c>
    </row>
    <row r="16" spans="1:36" ht="15.4">
      <c r="A16" s="207" t="s">
        <v>50</v>
      </c>
      <c r="B16" s="23" t="s">
        <v>51</v>
      </c>
      <c r="C16" s="32"/>
      <c r="D16" s="18"/>
      <c r="E16" s="216"/>
      <c r="F16" s="24"/>
      <c r="G16" s="24"/>
      <c r="H16" s="33"/>
      <c r="I16" s="30"/>
      <c r="J16" s="1"/>
      <c r="K16" s="3"/>
      <c r="L16" s="3"/>
      <c r="M16" s="3"/>
      <c r="N16" s="15"/>
      <c r="O16" s="15"/>
      <c r="P16" s="15"/>
      <c r="Q16" s="15"/>
      <c r="R16" s="15"/>
      <c r="S16" s="15"/>
      <c r="T16" s="15"/>
      <c r="U16" s="15"/>
      <c r="V16" s="15"/>
      <c r="W16" s="15"/>
      <c r="X16" s="15"/>
      <c r="Y16" s="15"/>
      <c r="Z16" s="15"/>
      <c r="AA16" s="15"/>
      <c r="AB16" s="17"/>
      <c r="AI16" t="s">
        <v>52</v>
      </c>
      <c r="AJ16" t="s">
        <v>47</v>
      </c>
    </row>
    <row r="17" spans="1:36" ht="30.95">
      <c r="A17" s="207"/>
      <c r="B17" s="108" t="s">
        <v>53</v>
      </c>
      <c r="C17" s="208" t="s">
        <v>54</v>
      </c>
      <c r="D17" s="108" t="s">
        <v>55</v>
      </c>
      <c r="E17" s="108" t="s">
        <v>56</v>
      </c>
      <c r="F17" s="108" t="s">
        <v>57</v>
      </c>
      <c r="G17" s="209" t="s">
        <v>58</v>
      </c>
      <c r="H17" s="33"/>
      <c r="I17" s="30"/>
      <c r="J17" s="1"/>
      <c r="K17" s="3"/>
      <c r="L17" s="3"/>
      <c r="M17" s="3"/>
      <c r="N17" s="15"/>
      <c r="O17" s="15"/>
      <c r="P17" s="15"/>
      <c r="Q17" s="15"/>
      <c r="R17" s="15"/>
      <c r="S17" s="15"/>
      <c r="T17" s="15"/>
      <c r="U17" s="15"/>
      <c r="V17" s="15"/>
      <c r="W17" s="15"/>
      <c r="X17" s="15"/>
      <c r="Y17" s="15"/>
      <c r="Z17" s="15"/>
      <c r="AA17" s="15"/>
      <c r="AB17" s="17"/>
      <c r="AI17" t="s">
        <v>59</v>
      </c>
      <c r="AJ17" t="s">
        <v>47</v>
      </c>
    </row>
    <row r="18" spans="1:36" s="215" customFormat="1" ht="15.4">
      <c r="A18" s="26" t="s">
        <v>60</v>
      </c>
      <c r="B18" s="29" t="s">
        <v>61</v>
      </c>
      <c r="C18" s="29">
        <f>E5</f>
        <v>400</v>
      </c>
      <c r="D18" s="29">
        <v>60</v>
      </c>
      <c r="E18" s="110">
        <f>C18*D18/100</f>
        <v>240</v>
      </c>
      <c r="F18" s="29">
        <v>185</v>
      </c>
      <c r="G18" s="110">
        <f>E18*F18/100</f>
        <v>444</v>
      </c>
      <c r="H18" s="33"/>
      <c r="I18" s="30"/>
      <c r="J18" s="211"/>
      <c r="K18" s="212"/>
      <c r="L18" s="212"/>
      <c r="M18" s="212"/>
      <c r="N18" s="213"/>
      <c r="O18" s="213"/>
      <c r="P18" s="213"/>
      <c r="Q18" s="213"/>
      <c r="R18" s="213"/>
      <c r="S18" s="213"/>
      <c r="T18" s="213"/>
      <c r="U18" s="213"/>
      <c r="V18" s="213"/>
      <c r="W18" s="213"/>
      <c r="X18" s="213"/>
      <c r="Y18" s="213"/>
      <c r="Z18" s="213"/>
      <c r="AA18" s="213"/>
      <c r="AB18" s="214"/>
      <c r="AI18" t="s">
        <v>62</v>
      </c>
      <c r="AJ18" t="s">
        <v>63</v>
      </c>
    </row>
    <row r="19" spans="1:36" ht="15.4">
      <c r="A19" s="26" t="s">
        <v>64</v>
      </c>
      <c r="B19" s="29" t="s">
        <v>65</v>
      </c>
      <c r="C19" s="29">
        <f>E5-(E10*2)</f>
        <v>256</v>
      </c>
      <c r="D19" s="29">
        <v>95</v>
      </c>
      <c r="E19" s="110">
        <f t="shared" ref="E19:E20" si="0">C19*D19/100</f>
        <v>243.2</v>
      </c>
      <c r="F19" s="29">
        <v>220</v>
      </c>
      <c r="G19" s="110">
        <f>E19*F19/100</f>
        <v>535.04</v>
      </c>
      <c r="H19" s="33"/>
      <c r="I19" s="30"/>
      <c r="J19" s="1"/>
      <c r="K19" s="3"/>
      <c r="L19" s="3"/>
      <c r="M19" s="3"/>
      <c r="N19" s="15"/>
      <c r="O19" s="15"/>
      <c r="P19" s="15"/>
      <c r="Q19" s="15"/>
      <c r="R19" s="15"/>
      <c r="S19" s="15"/>
      <c r="T19" s="15"/>
      <c r="U19" s="15"/>
      <c r="V19" s="15"/>
      <c r="W19" s="15"/>
      <c r="X19" s="15"/>
      <c r="Y19" s="15"/>
      <c r="Z19" s="15"/>
      <c r="AA19" s="15"/>
      <c r="AB19" s="17"/>
      <c r="AI19" t="s">
        <v>66</v>
      </c>
      <c r="AJ19" t="s">
        <v>67</v>
      </c>
    </row>
    <row r="20" spans="1:36" ht="15.4">
      <c r="A20" s="26" t="s">
        <v>68</v>
      </c>
      <c r="B20" s="29" t="s">
        <v>69</v>
      </c>
      <c r="C20" s="29">
        <f>E5</f>
        <v>400</v>
      </c>
      <c r="D20" s="29">
        <v>85</v>
      </c>
      <c r="E20" s="110">
        <f t="shared" si="0"/>
        <v>340</v>
      </c>
      <c r="F20" s="29">
        <v>220</v>
      </c>
      <c r="G20" s="110">
        <f>E20*F20/100</f>
        <v>748</v>
      </c>
      <c r="H20" s="33"/>
      <c r="I20" s="30"/>
      <c r="J20" s="1"/>
      <c r="K20" s="3"/>
      <c r="L20" s="3"/>
      <c r="M20" s="3"/>
      <c r="N20" s="15"/>
      <c r="O20" s="15"/>
      <c r="P20" s="15"/>
      <c r="Q20" s="15"/>
      <c r="R20" s="15"/>
      <c r="S20" s="15"/>
      <c r="T20" s="15"/>
      <c r="U20" s="15"/>
      <c r="V20" s="15"/>
      <c r="W20" s="15"/>
      <c r="X20" s="15"/>
      <c r="Y20" s="15"/>
      <c r="Z20" s="15"/>
      <c r="AA20" s="15"/>
      <c r="AB20" s="17"/>
      <c r="AI20" t="s">
        <v>70</v>
      </c>
      <c r="AJ20" t="s">
        <v>71</v>
      </c>
    </row>
    <row r="21" spans="1:36" ht="15.4">
      <c r="A21" s="26" t="s">
        <v>72</v>
      </c>
      <c r="B21" s="29" t="s">
        <v>65</v>
      </c>
      <c r="C21" s="29">
        <f>E10*2</f>
        <v>144</v>
      </c>
      <c r="D21" s="29">
        <v>85</v>
      </c>
      <c r="E21" s="110">
        <f t="shared" ref="E21" si="1">C21*D21/100</f>
        <v>122.4</v>
      </c>
      <c r="F21" s="29">
        <v>170</v>
      </c>
      <c r="G21" s="110">
        <f>E21*F21/100</f>
        <v>208.08</v>
      </c>
      <c r="H21" s="33"/>
      <c r="I21" s="30"/>
      <c r="J21" s="1"/>
      <c r="K21" s="3"/>
      <c r="L21" s="3"/>
      <c r="M21" s="3"/>
      <c r="N21" s="15"/>
      <c r="O21" s="15"/>
      <c r="P21" s="15"/>
      <c r="Q21" s="15"/>
      <c r="R21" s="15"/>
      <c r="S21" s="15"/>
      <c r="T21" s="15"/>
      <c r="U21" s="15"/>
      <c r="V21" s="15"/>
      <c r="W21" s="15"/>
      <c r="X21" s="15"/>
      <c r="Y21" s="15"/>
      <c r="Z21" s="15"/>
      <c r="AA21" s="15"/>
      <c r="AB21" s="17"/>
      <c r="AI21" t="s">
        <v>73</v>
      </c>
      <c r="AJ21" t="s">
        <v>74</v>
      </c>
    </row>
    <row r="22" spans="1:36" ht="30.95">
      <c r="A22" s="26"/>
      <c r="B22" s="23"/>
      <c r="C22" s="218" t="s">
        <v>75</v>
      </c>
      <c r="D22" s="110">
        <f>SUM(E18:E21)/SUM(C18:C21)*100</f>
        <v>78.8</v>
      </c>
      <c r="E22" s="18" t="s">
        <v>18</v>
      </c>
      <c r="F22" s="24"/>
      <c r="G22" s="221">
        <f>SUM(G18:G21)</f>
        <v>1935.12</v>
      </c>
      <c r="H22" s="220" t="s">
        <v>76</v>
      </c>
      <c r="I22" s="30"/>
      <c r="J22" s="1"/>
      <c r="K22" s="3"/>
      <c r="L22" s="3"/>
      <c r="M22" s="3"/>
      <c r="N22" s="15"/>
      <c r="O22" s="15"/>
      <c r="P22" s="15"/>
      <c r="Q22" s="15"/>
      <c r="R22" s="15"/>
      <c r="S22" s="15"/>
      <c r="T22" s="15"/>
      <c r="U22" s="15"/>
      <c r="V22" s="15"/>
      <c r="W22" s="15"/>
      <c r="X22" s="15"/>
      <c r="Y22" s="15"/>
      <c r="Z22" s="15"/>
      <c r="AA22" s="15"/>
      <c r="AB22" s="17"/>
      <c r="AI22" s="237" t="s">
        <v>77</v>
      </c>
      <c r="AJ22" t="s">
        <v>78</v>
      </c>
    </row>
    <row r="23" spans="1:36" ht="15.4">
      <c r="A23" s="26"/>
      <c r="B23" s="23"/>
      <c r="C23" s="222"/>
      <c r="D23" s="110"/>
      <c r="E23" s="18"/>
      <c r="F23" s="24"/>
      <c r="G23" s="108"/>
      <c r="H23" s="223"/>
      <c r="I23" s="210"/>
      <c r="J23" s="1"/>
      <c r="K23" s="3"/>
      <c r="L23" s="3"/>
      <c r="M23" s="3"/>
      <c r="N23" s="15"/>
      <c r="O23" s="15"/>
      <c r="P23" s="15"/>
      <c r="Q23" s="15"/>
      <c r="R23" s="15"/>
      <c r="S23" s="202" t="s">
        <v>79</v>
      </c>
      <c r="T23" s="15"/>
      <c r="U23" s="15"/>
      <c r="V23" s="15"/>
      <c r="W23" s="15"/>
      <c r="X23" s="15"/>
      <c r="Y23" s="15"/>
      <c r="Z23" s="15"/>
      <c r="AA23" s="15"/>
      <c r="AB23" s="17"/>
      <c r="AI23" t="s">
        <v>80</v>
      </c>
      <c r="AJ23" t="s">
        <v>81</v>
      </c>
    </row>
    <row r="24" spans="1:36" ht="15.4">
      <c r="A24" s="34"/>
      <c r="B24" s="23"/>
      <c r="C24" s="32"/>
      <c r="D24" s="33"/>
      <c r="E24" s="33"/>
      <c r="F24" s="24"/>
      <c r="G24" s="108"/>
      <c r="H24" s="33"/>
      <c r="I24" s="30"/>
      <c r="J24" s="1"/>
      <c r="K24" s="3"/>
      <c r="L24" s="3"/>
      <c r="M24" s="3"/>
      <c r="N24" s="15"/>
      <c r="O24" s="15"/>
      <c r="P24" s="15"/>
      <c r="Q24" s="15"/>
      <c r="R24" s="15"/>
      <c r="S24" s="202" t="s">
        <v>82</v>
      </c>
      <c r="T24" s="15"/>
      <c r="U24" s="15"/>
      <c r="V24" s="15"/>
      <c r="W24" s="15"/>
      <c r="X24" s="15"/>
      <c r="Y24" s="15"/>
      <c r="Z24" s="15"/>
      <c r="AA24" s="15"/>
      <c r="AB24" s="17"/>
    </row>
    <row r="25" spans="1:36" ht="15.4">
      <c r="A25" s="34" t="s">
        <v>83</v>
      </c>
      <c r="B25" s="35"/>
      <c r="C25" s="24"/>
      <c r="D25" s="32"/>
      <c r="E25" s="96" t="s">
        <v>84</v>
      </c>
      <c r="F25" s="96" t="s">
        <v>85</v>
      </c>
      <c r="G25" s="96" t="s">
        <v>86</v>
      </c>
      <c r="H25" s="33"/>
      <c r="I25" s="30"/>
      <c r="J25" s="1"/>
      <c r="K25" s="3"/>
      <c r="L25" s="3"/>
      <c r="M25" s="3"/>
      <c r="N25" s="15"/>
      <c r="O25" s="15"/>
      <c r="P25" s="15"/>
      <c r="Q25" s="15"/>
      <c r="R25" s="15"/>
      <c r="S25" s="202" t="s">
        <v>87</v>
      </c>
      <c r="T25" s="15"/>
      <c r="U25" s="15"/>
      <c r="V25" s="15"/>
      <c r="W25" s="15"/>
      <c r="X25" s="15"/>
      <c r="Y25" s="15"/>
      <c r="Z25" s="15"/>
      <c r="AA25" s="15"/>
      <c r="AB25" s="17"/>
    </row>
    <row r="26" spans="1:36" ht="15.4">
      <c r="A26" s="26" t="s">
        <v>88</v>
      </c>
      <c r="B26" s="23"/>
      <c r="C26" s="23"/>
      <c r="D26" s="18" t="s">
        <v>18</v>
      </c>
      <c r="E26" s="29">
        <v>220</v>
      </c>
      <c r="F26" s="110">
        <f>SUM(G18:G21)/SUM(E18:E21)*100</f>
        <v>204.64467005076142</v>
      </c>
      <c r="G26" s="29">
        <v>185</v>
      </c>
      <c r="H26" s="33"/>
      <c r="I26" s="37"/>
      <c r="J26" s="1"/>
      <c r="K26" s="3"/>
      <c r="L26" s="3">
        <f ca="1">AB4</f>
        <v>201671.98843975927</v>
      </c>
      <c r="M26" s="3"/>
      <c r="N26" s="15"/>
      <c r="O26" s="15"/>
      <c r="P26" s="15"/>
      <c r="Q26" s="15"/>
      <c r="R26" s="15"/>
      <c r="S26" s="202" t="s">
        <v>89</v>
      </c>
      <c r="T26" s="15"/>
      <c r="U26" s="15"/>
      <c r="V26" s="15"/>
      <c r="W26" s="15"/>
      <c r="X26" s="15"/>
      <c r="Y26" s="15"/>
      <c r="Z26" s="15"/>
      <c r="AA26" s="15"/>
      <c r="AB26" s="15">
        <f>(E36*F36)/F47</f>
        <v>0</v>
      </c>
    </row>
    <row r="27" spans="1:36" ht="15.4">
      <c r="A27" s="26" t="s">
        <v>90</v>
      </c>
      <c r="B27" s="23"/>
      <c r="C27" s="38"/>
      <c r="D27" s="18" t="s">
        <v>14</v>
      </c>
      <c r="E27" s="110">
        <f>SUM(E18:E21)*E26/100/2</f>
        <v>1040.1600000000001</v>
      </c>
      <c r="F27" s="110">
        <f>SUM(G18:G21)/2</f>
        <v>967.56</v>
      </c>
      <c r="G27" s="110">
        <f>SUM(E18:E21)*G26/100/2</f>
        <v>874.68</v>
      </c>
      <c r="H27" s="33"/>
      <c r="I27" s="37"/>
      <c r="J27" s="1"/>
      <c r="K27" s="3"/>
      <c r="L27" s="3">
        <f ca="1">AB5</f>
        <v>33247.211759999998</v>
      </c>
      <c r="M27" s="3"/>
      <c r="N27" s="15"/>
      <c r="O27" s="15"/>
      <c r="P27" s="15"/>
      <c r="Q27" s="15"/>
      <c r="R27" s="15"/>
      <c r="S27" s="202" t="s">
        <v>91</v>
      </c>
      <c r="T27" s="15"/>
      <c r="U27" s="15"/>
      <c r="V27" s="15"/>
      <c r="W27" s="15"/>
      <c r="X27" s="15"/>
      <c r="Y27" s="15"/>
      <c r="Z27" s="15"/>
      <c r="AA27" s="15"/>
      <c r="AB27" s="15">
        <f>H36*E5</f>
        <v>0</v>
      </c>
    </row>
    <row r="28" spans="1:36" ht="15.4">
      <c r="A28" s="26" t="s">
        <v>92</v>
      </c>
      <c r="B28" s="23"/>
      <c r="C28" s="38"/>
      <c r="D28" s="18" t="s">
        <v>18</v>
      </c>
      <c r="E28" s="29">
        <v>10</v>
      </c>
      <c r="F28" s="29">
        <v>15</v>
      </c>
      <c r="G28" s="29">
        <v>20</v>
      </c>
      <c r="H28" s="33"/>
      <c r="I28" s="37"/>
      <c r="J28" s="1"/>
      <c r="K28" s="3"/>
      <c r="L28" s="3">
        <f>AB6</f>
        <v>224773.12910000005</v>
      </c>
      <c r="M28" s="3"/>
      <c r="N28" s="15"/>
      <c r="O28" s="15"/>
      <c r="P28" s="15"/>
      <c r="Q28" s="15"/>
      <c r="R28" s="15"/>
      <c r="S28" s="15"/>
      <c r="T28" s="15"/>
      <c r="U28" s="15"/>
      <c r="V28" s="15"/>
      <c r="W28" s="15"/>
      <c r="X28" s="15"/>
      <c r="Y28" s="15"/>
      <c r="Z28" s="15"/>
      <c r="AA28" s="15"/>
      <c r="AB28" s="17">
        <f>SUM(I54:I62)</f>
        <v>59701.421319831839</v>
      </c>
    </row>
    <row r="29" spans="1:36" ht="15.4">
      <c r="A29" s="26" t="s">
        <v>93</v>
      </c>
      <c r="B29" s="23"/>
      <c r="C29" s="38"/>
      <c r="D29" s="18" t="s">
        <v>14</v>
      </c>
      <c r="E29" s="110">
        <f>AB7</f>
        <v>936.14400000000012</v>
      </c>
      <c r="F29" s="110">
        <f>AB8</f>
        <v>822.42599999999993</v>
      </c>
      <c r="G29" s="110">
        <f>AB9</f>
        <v>699.74400000000003</v>
      </c>
      <c r="H29" s="33"/>
      <c r="I29" s="37"/>
      <c r="J29" s="1"/>
      <c r="K29" s="3"/>
      <c r="L29" s="3">
        <f>AB10</f>
        <v>35908.843723400598</v>
      </c>
      <c r="M29" s="3"/>
      <c r="N29" s="15"/>
      <c r="O29" s="15"/>
      <c r="P29" s="15"/>
      <c r="Q29" s="15"/>
      <c r="R29" s="15"/>
      <c r="S29" s="15"/>
      <c r="T29" s="15"/>
      <c r="U29" s="15"/>
      <c r="V29" s="15"/>
      <c r="W29" s="15"/>
      <c r="X29" s="15"/>
      <c r="Y29" s="15"/>
      <c r="Z29" s="15"/>
      <c r="AA29" s="15"/>
      <c r="AB29" s="15">
        <f>(E37*F37)/F47</f>
        <v>0</v>
      </c>
    </row>
    <row r="30" spans="1:36" ht="15.4">
      <c r="A30" s="26" t="s">
        <v>94</v>
      </c>
      <c r="B30" s="23"/>
      <c r="C30" s="38"/>
      <c r="D30" s="18" t="s">
        <v>25</v>
      </c>
      <c r="E30" s="92">
        <v>105</v>
      </c>
      <c r="F30" s="92">
        <v>105</v>
      </c>
      <c r="G30" s="92">
        <v>105</v>
      </c>
      <c r="H30" s="33"/>
      <c r="I30" s="37"/>
      <c r="J30" s="1"/>
      <c r="K30" s="3"/>
      <c r="L30" s="3"/>
      <c r="M30" s="3"/>
      <c r="N30" s="15"/>
      <c r="O30" s="15"/>
      <c r="P30" s="15"/>
      <c r="Q30" s="15"/>
      <c r="R30" s="15"/>
      <c r="S30" s="15"/>
      <c r="T30" s="15"/>
      <c r="U30" s="15"/>
      <c r="V30" s="15"/>
      <c r="W30" s="15"/>
      <c r="X30" s="15"/>
      <c r="Y30" s="15"/>
      <c r="Z30" s="15"/>
      <c r="AA30" s="15"/>
      <c r="AB30" s="15">
        <f>H37*E5</f>
        <v>0</v>
      </c>
    </row>
    <row r="31" spans="1:36" ht="15.4">
      <c r="A31" s="26" t="s">
        <v>95</v>
      </c>
      <c r="B31" s="23"/>
      <c r="C31" s="23"/>
      <c r="D31" s="18" t="s">
        <v>29</v>
      </c>
      <c r="E31" s="92">
        <v>310</v>
      </c>
      <c r="F31" s="92">
        <v>267</v>
      </c>
      <c r="G31" s="92">
        <v>234</v>
      </c>
      <c r="H31" s="33"/>
      <c r="I31" s="28"/>
      <c r="J31" s="1"/>
      <c r="K31" s="3"/>
      <c r="L31" s="3" t="s">
        <v>96</v>
      </c>
      <c r="M31" s="3"/>
      <c r="N31" s="15"/>
      <c r="O31" s="15"/>
      <c r="P31" s="15"/>
      <c r="Q31" s="15"/>
      <c r="R31" s="15"/>
      <c r="S31" s="15"/>
      <c r="T31" s="15"/>
      <c r="U31" s="15"/>
      <c r="V31" s="15"/>
      <c r="W31" s="15"/>
      <c r="X31" s="15"/>
      <c r="Y31" s="15"/>
      <c r="Z31" s="15"/>
      <c r="AA31" s="15"/>
      <c r="AB31" s="17">
        <f>I196+I209</f>
        <v>4952.9288999999999</v>
      </c>
    </row>
    <row r="32" spans="1:36" ht="15.4">
      <c r="A32" s="94"/>
      <c r="B32" s="93"/>
      <c r="C32" s="93"/>
      <c r="D32" s="94"/>
      <c r="E32" s="95"/>
      <c r="F32" s="95"/>
      <c r="G32" s="95"/>
      <c r="H32" s="95"/>
      <c r="I32" s="93"/>
      <c r="J32" s="1"/>
      <c r="K32" s="3"/>
      <c r="L32" s="3" t="s">
        <v>97</v>
      </c>
      <c r="M32" s="3"/>
      <c r="N32" s="15"/>
      <c r="O32" s="15"/>
      <c r="P32" s="15"/>
      <c r="Q32" s="15"/>
      <c r="R32" s="15"/>
      <c r="S32" s="15"/>
      <c r="T32" s="15"/>
      <c r="U32" s="15"/>
      <c r="V32" s="15"/>
      <c r="W32" s="15"/>
      <c r="X32" s="15"/>
      <c r="Y32" s="15"/>
      <c r="Z32" s="15"/>
      <c r="AA32" s="15"/>
      <c r="AB32" s="15">
        <f>E5*E6/100</f>
        <v>60</v>
      </c>
    </row>
    <row r="33" spans="1:31" ht="15.4">
      <c r="A33" s="34" t="s">
        <v>98</v>
      </c>
      <c r="B33" s="23"/>
      <c r="C33" s="23"/>
      <c r="D33" s="23"/>
      <c r="E33" s="36"/>
      <c r="F33" s="36"/>
      <c r="G33" s="36"/>
      <c r="H33" s="36"/>
      <c r="I33" s="39" t="s">
        <v>99</v>
      </c>
      <c r="J33" s="1"/>
      <c r="K33" s="3"/>
      <c r="L33" s="3">
        <f>AB12</f>
        <v>400</v>
      </c>
      <c r="M33" s="3"/>
      <c r="N33" s="15"/>
      <c r="O33" s="15"/>
      <c r="P33" s="15"/>
      <c r="Q33" s="15"/>
      <c r="R33" s="15"/>
      <c r="S33" s="15"/>
      <c r="T33" s="15"/>
      <c r="U33" s="15"/>
      <c r="V33" s="15"/>
      <c r="W33" s="15"/>
      <c r="X33" s="15"/>
      <c r="Y33" s="15"/>
      <c r="Z33" s="15"/>
      <c r="AA33" s="15"/>
      <c r="AB33" s="15">
        <f>E8*E9/100</f>
        <v>221.2</v>
      </c>
    </row>
    <row r="34" spans="1:31" ht="15.4">
      <c r="A34" s="26" t="s">
        <v>100</v>
      </c>
      <c r="B34" s="23"/>
      <c r="C34" s="23"/>
      <c r="D34" s="23"/>
      <c r="E34" s="36" t="s">
        <v>101</v>
      </c>
      <c r="F34" s="36" t="s">
        <v>102</v>
      </c>
      <c r="G34" s="36"/>
      <c r="H34" s="36" t="s">
        <v>103</v>
      </c>
      <c r="I34" s="39" t="str">
        <f>AB11</f>
        <v xml:space="preserve"> 400 Ewes</v>
      </c>
      <c r="J34" s="1"/>
      <c r="K34" s="3"/>
      <c r="L34" s="4">
        <f>AB15</f>
        <v>1400</v>
      </c>
      <c r="M34" s="3"/>
      <c r="N34" s="15"/>
      <c r="O34" s="15"/>
      <c r="P34" s="15"/>
      <c r="Q34" s="15"/>
      <c r="R34" s="15"/>
      <c r="S34" s="15"/>
      <c r="T34" s="15"/>
      <c r="U34" s="15"/>
      <c r="V34" s="15"/>
      <c r="W34" s="15"/>
      <c r="X34" s="15"/>
      <c r="Y34" s="15"/>
      <c r="Z34" s="15"/>
      <c r="AA34" s="15"/>
      <c r="AB34" s="15">
        <f>(E38*F38)/F47</f>
        <v>33.18</v>
      </c>
    </row>
    <row r="35" spans="1:31" ht="15.4">
      <c r="A35" s="26" t="s">
        <v>104</v>
      </c>
      <c r="B35" s="23"/>
      <c r="C35" s="23"/>
      <c r="D35" s="23"/>
      <c r="E35" s="29">
        <v>0</v>
      </c>
      <c r="F35" s="40">
        <v>305</v>
      </c>
      <c r="G35" s="36"/>
      <c r="H35" s="41">
        <f>AB13</f>
        <v>0</v>
      </c>
      <c r="I35" s="42">
        <f>AB14</f>
        <v>0</v>
      </c>
      <c r="J35" s="1"/>
      <c r="K35" s="3"/>
      <c r="L35" s="4">
        <f>AB28</f>
        <v>59701.421319831839</v>
      </c>
      <c r="M35" s="3"/>
      <c r="N35" s="15"/>
      <c r="O35" s="15"/>
      <c r="P35" s="15"/>
      <c r="Q35" s="15"/>
      <c r="R35" s="15"/>
      <c r="S35" s="15"/>
      <c r="T35" s="15"/>
      <c r="U35" s="15"/>
      <c r="V35" s="15"/>
      <c r="W35" s="15"/>
      <c r="X35" s="15"/>
      <c r="Y35" s="15"/>
      <c r="Z35" s="15"/>
      <c r="AA35" s="15"/>
      <c r="AB35" s="15">
        <f>H38*E5</f>
        <v>13272</v>
      </c>
    </row>
    <row r="36" spans="1:31" ht="15.4">
      <c r="A36" s="26" t="s">
        <v>105</v>
      </c>
      <c r="B36" s="23"/>
      <c r="C36" s="23"/>
      <c r="D36" s="23"/>
      <c r="E36" s="29">
        <v>0</v>
      </c>
      <c r="F36" s="40">
        <v>405</v>
      </c>
      <c r="G36" s="36"/>
      <c r="H36" s="41">
        <f>AB26</f>
        <v>0</v>
      </c>
      <c r="I36" s="42">
        <f>AB27</f>
        <v>0</v>
      </c>
      <c r="J36" s="1"/>
      <c r="K36" s="3"/>
      <c r="L36" s="4">
        <f>AB31</f>
        <v>4952.9288999999999</v>
      </c>
      <c r="M36" s="3"/>
      <c r="N36" s="15"/>
      <c r="O36" s="15"/>
      <c r="P36" s="15"/>
      <c r="Q36" s="15"/>
      <c r="R36" s="15"/>
      <c r="S36" s="15"/>
      <c r="T36" s="15"/>
      <c r="U36" s="15"/>
      <c r="V36" s="15"/>
      <c r="W36" s="15"/>
      <c r="X36" s="15"/>
      <c r="Y36" s="15"/>
      <c r="Z36" s="15"/>
      <c r="AA36" s="15"/>
      <c r="AB36" s="17">
        <f>I188+I190+I195+I198+I199+I202</f>
        <v>12960</v>
      </c>
    </row>
    <row r="37" spans="1:31" ht="15.4">
      <c r="A37" s="26" t="s">
        <v>106</v>
      </c>
      <c r="B37" s="23"/>
      <c r="C37" s="23"/>
      <c r="D37" s="23"/>
      <c r="E37" s="29">
        <v>0</v>
      </c>
      <c r="F37" s="40">
        <v>0</v>
      </c>
      <c r="G37" s="36"/>
      <c r="H37" s="41">
        <f>AB29</f>
        <v>0</v>
      </c>
      <c r="I37" s="42">
        <f>AB30</f>
        <v>0</v>
      </c>
      <c r="J37" s="1"/>
      <c r="K37" s="3"/>
      <c r="L37" s="4">
        <f>AB36</f>
        <v>12960</v>
      </c>
      <c r="M37" s="3"/>
      <c r="N37" s="15"/>
      <c r="O37" s="15"/>
      <c r="P37" s="15"/>
      <c r="Q37" s="15"/>
      <c r="R37" s="15"/>
      <c r="S37" s="15"/>
      <c r="T37" s="15"/>
      <c r="U37" s="15"/>
      <c r="V37" s="15"/>
      <c r="W37" s="15"/>
      <c r="X37" s="15"/>
      <c r="Y37" s="15"/>
      <c r="Z37" s="15"/>
      <c r="AA37" s="15"/>
      <c r="AB37" s="15">
        <f>E12</f>
        <v>2</v>
      </c>
    </row>
    <row r="38" spans="1:31" ht="15.4">
      <c r="A38" s="26" t="s">
        <v>107</v>
      </c>
      <c r="B38" s="23"/>
      <c r="C38" s="32"/>
      <c r="D38" s="33"/>
      <c r="E38" s="43">
        <f>AB32</f>
        <v>60</v>
      </c>
      <c r="F38" s="41">
        <f>AB33</f>
        <v>221.2</v>
      </c>
      <c r="G38" s="41"/>
      <c r="H38" s="41">
        <f>AB34</f>
        <v>33.18</v>
      </c>
      <c r="I38" s="42">
        <f>AB35</f>
        <v>13272</v>
      </c>
      <c r="J38" s="5"/>
      <c r="K38" s="3"/>
      <c r="L38" s="4">
        <f>AB41</f>
        <v>12499.407999999999</v>
      </c>
      <c r="M38" s="3"/>
      <c r="N38" s="15"/>
      <c r="O38" s="15"/>
      <c r="P38" s="15"/>
      <c r="Q38" s="15"/>
      <c r="R38" s="15"/>
      <c r="S38" s="15"/>
      <c r="T38" s="15"/>
      <c r="U38" s="15"/>
      <c r="V38" s="15"/>
      <c r="W38" s="15"/>
      <c r="X38" s="15"/>
      <c r="Y38" s="15"/>
      <c r="Z38" s="15"/>
      <c r="AA38" s="15"/>
      <c r="AB38" s="15">
        <f>E13*E14/100</f>
        <v>316</v>
      </c>
    </row>
    <row r="39" spans="1:31" ht="15.4">
      <c r="A39" s="26" t="s">
        <v>108</v>
      </c>
      <c r="B39" s="23"/>
      <c r="C39" s="32"/>
      <c r="D39" s="33"/>
      <c r="E39" s="43">
        <f>AB37</f>
        <v>2</v>
      </c>
      <c r="F39" s="41">
        <f>AB38</f>
        <v>316</v>
      </c>
      <c r="G39" s="41"/>
      <c r="H39" s="41">
        <f>AB39</f>
        <v>1.58</v>
      </c>
      <c r="I39" s="42">
        <f>AB40</f>
        <v>632</v>
      </c>
      <c r="J39" s="1"/>
      <c r="K39" s="3"/>
      <c r="L39" s="4">
        <f>AB47</f>
        <v>13200</v>
      </c>
      <c r="M39" s="3"/>
      <c r="N39" s="15"/>
      <c r="O39" s="15"/>
      <c r="P39" s="15"/>
      <c r="Q39" s="15"/>
      <c r="R39" s="15"/>
      <c r="S39" s="15"/>
      <c r="T39" s="15"/>
      <c r="U39" s="15"/>
      <c r="V39" s="15"/>
      <c r="W39" s="15"/>
      <c r="X39" s="15"/>
      <c r="Y39" s="15"/>
      <c r="Z39" s="15"/>
      <c r="AA39" s="15"/>
      <c r="AB39" s="15">
        <f>(E39*F39)/F47</f>
        <v>1.58</v>
      </c>
    </row>
    <row r="40" spans="1:31" ht="15.4">
      <c r="A40" s="26" t="s">
        <v>109</v>
      </c>
      <c r="B40" s="23"/>
      <c r="C40" s="32"/>
      <c r="D40" s="33"/>
      <c r="E40" s="43">
        <f>AB42</f>
        <v>750.42599999999993</v>
      </c>
      <c r="F40" s="41">
        <f>AB43</f>
        <v>280.35000000000002</v>
      </c>
      <c r="G40" s="41"/>
      <c r="H40" s="41">
        <f>AB44</f>
        <v>525.95482275000006</v>
      </c>
      <c r="I40" s="42">
        <f>AB46</f>
        <v>210381.92910000004</v>
      </c>
      <c r="J40" s="1"/>
      <c r="K40" s="3"/>
      <c r="L40" s="3"/>
      <c r="M40" s="3"/>
      <c r="N40" s="15"/>
      <c r="O40" s="15"/>
      <c r="P40" s="15"/>
      <c r="Q40" s="15"/>
      <c r="R40" s="15"/>
      <c r="S40" s="15"/>
      <c r="T40" s="15"/>
      <c r="U40" s="15"/>
      <c r="V40" s="15"/>
      <c r="W40" s="15"/>
      <c r="X40" s="15"/>
      <c r="Y40" s="15"/>
      <c r="Z40" s="15"/>
      <c r="AA40" s="15"/>
      <c r="AB40" s="15">
        <f>H39*E5</f>
        <v>632</v>
      </c>
    </row>
    <row r="41" spans="1:31" ht="15.4">
      <c r="A41" s="26" t="s">
        <v>110</v>
      </c>
      <c r="B41" s="234">
        <v>6</v>
      </c>
      <c r="C41" s="18" t="s">
        <v>111</v>
      </c>
      <c r="D41" s="33"/>
      <c r="E41" s="33"/>
      <c r="F41" s="24"/>
      <c r="G41" s="24"/>
      <c r="H41" s="33"/>
      <c r="I41" s="30"/>
      <c r="J41" s="1"/>
      <c r="K41" s="3"/>
      <c r="L41" s="3"/>
      <c r="M41" s="3"/>
      <c r="N41" s="15"/>
      <c r="O41" s="15"/>
      <c r="P41" s="15"/>
      <c r="Q41" s="15"/>
      <c r="R41" s="15"/>
      <c r="S41" s="15"/>
      <c r="T41" s="15"/>
      <c r="U41" s="15"/>
      <c r="V41" s="15"/>
      <c r="W41" s="15"/>
      <c r="X41" s="15"/>
      <c r="Y41" s="15"/>
      <c r="Z41" s="15"/>
      <c r="AA41" s="15"/>
      <c r="AB41" s="17">
        <f>I204+I206</f>
        <v>12499.407999999999</v>
      </c>
    </row>
    <row r="42" spans="1:31" ht="15.4">
      <c r="A42" s="26" t="s">
        <v>112</v>
      </c>
      <c r="B42" s="235">
        <v>0.2</v>
      </c>
      <c r="C42" s="18" t="s">
        <v>113</v>
      </c>
      <c r="D42" s="33"/>
      <c r="E42" s="44">
        <f>AB48</f>
        <v>406</v>
      </c>
      <c r="F42" s="41">
        <f>AB49</f>
        <v>1.2000000000000002</v>
      </c>
      <c r="G42" s="41"/>
      <c r="H42" s="41">
        <f>AB50</f>
        <v>1.2180000000000002</v>
      </c>
      <c r="I42" s="42">
        <f>AB51</f>
        <v>487.20000000000005</v>
      </c>
      <c r="J42" s="1"/>
      <c r="K42" s="3"/>
      <c r="L42" s="3"/>
      <c r="M42" s="3"/>
      <c r="N42" s="15"/>
      <c r="O42" s="15"/>
      <c r="P42" s="15"/>
      <c r="Q42" s="15"/>
      <c r="R42" s="15"/>
      <c r="S42" s="15"/>
      <c r="T42" s="15"/>
      <c r="U42" s="15"/>
      <c r="V42" s="15"/>
      <c r="W42" s="15"/>
      <c r="X42" s="15"/>
      <c r="Y42" s="15"/>
      <c r="Z42" s="15"/>
      <c r="AA42" s="15"/>
      <c r="AB42" s="15">
        <f>F29-E10-E35-E36</f>
        <v>750.42599999999993</v>
      </c>
    </row>
    <row r="43" spans="1:31" ht="15.4">
      <c r="A43" s="45" t="s">
        <v>114</v>
      </c>
      <c r="B43" s="46" t="s">
        <v>114</v>
      </c>
      <c r="C43" s="46" t="s">
        <v>114</v>
      </c>
      <c r="D43" s="23"/>
      <c r="E43" s="23"/>
      <c r="F43" s="31"/>
      <c r="G43" s="31"/>
      <c r="H43" s="31"/>
      <c r="I43" s="47" t="s">
        <v>114</v>
      </c>
      <c r="J43" s="1"/>
      <c r="K43" s="3"/>
      <c r="L43" s="3"/>
      <c r="M43" s="3"/>
      <c r="N43" s="15"/>
      <c r="O43" s="15"/>
      <c r="P43" s="15"/>
      <c r="Q43" s="15"/>
      <c r="R43" s="15"/>
      <c r="S43" s="15"/>
      <c r="T43" s="15"/>
      <c r="U43" s="15"/>
      <c r="V43" s="15"/>
      <c r="W43" s="15"/>
      <c r="X43" s="15"/>
      <c r="Y43" s="15"/>
      <c r="Z43" s="15"/>
      <c r="AA43" s="15"/>
      <c r="AB43" s="15">
        <f>F30*F31/100</f>
        <v>280.35000000000002</v>
      </c>
    </row>
    <row r="44" spans="1:31" ht="15.4">
      <c r="A44" s="26" t="s">
        <v>115</v>
      </c>
      <c r="B44" s="23"/>
      <c r="C44" s="48"/>
      <c r="D44" s="23"/>
      <c r="E44" s="49"/>
      <c r="F44" s="23"/>
      <c r="G44" s="23"/>
      <c r="H44" s="242">
        <f>AB45</f>
        <v>561.93282275000001</v>
      </c>
      <c r="I44" s="42">
        <f>AB52</f>
        <v>224773.12910000005</v>
      </c>
      <c r="J44" s="5"/>
      <c r="K44" s="3"/>
      <c r="L44" s="3"/>
      <c r="M44" s="3"/>
      <c r="N44" s="15"/>
      <c r="O44" s="15"/>
      <c r="P44" s="15"/>
      <c r="Q44" s="15"/>
      <c r="R44" s="15"/>
      <c r="S44" s="15"/>
      <c r="T44" s="15"/>
      <c r="U44" s="15"/>
      <c r="V44" s="15"/>
      <c r="W44" s="15"/>
      <c r="X44" s="15"/>
      <c r="Y44" s="15"/>
      <c r="Z44" s="15"/>
      <c r="AA44" s="15"/>
      <c r="AB44" s="15">
        <f>(E40*F40)/F47</f>
        <v>525.95482275000006</v>
      </c>
    </row>
    <row r="45" spans="1:31" ht="15.4">
      <c r="A45" s="34"/>
      <c r="B45" s="23"/>
      <c r="C45" s="23"/>
      <c r="D45" s="23"/>
      <c r="E45" s="23"/>
      <c r="F45" s="23"/>
      <c r="G45" s="23"/>
      <c r="H45" s="23"/>
      <c r="I45" s="30"/>
      <c r="J45" s="6"/>
      <c r="K45" s="3"/>
      <c r="L45" s="3"/>
      <c r="M45" s="3"/>
      <c r="N45" s="15"/>
      <c r="O45" s="15"/>
      <c r="P45" s="15"/>
      <c r="Q45" s="15"/>
      <c r="R45" s="15"/>
      <c r="S45" s="15"/>
      <c r="T45" s="15"/>
      <c r="U45" s="15"/>
      <c r="V45" s="15"/>
      <c r="W45" s="15"/>
      <c r="X45" s="15"/>
      <c r="Y45" s="15"/>
      <c r="Z45" s="15"/>
      <c r="AA45" s="15"/>
      <c r="AB45" s="16">
        <f>SUM(H35:H42)</f>
        <v>561.93282275000001</v>
      </c>
    </row>
    <row r="46" spans="1:31" ht="15.4">
      <c r="A46" s="50"/>
      <c r="B46" s="50"/>
      <c r="C46" s="50"/>
      <c r="D46" s="50"/>
      <c r="E46" s="50"/>
      <c r="F46" s="50"/>
      <c r="G46" s="50"/>
      <c r="H46" s="50"/>
      <c r="I46" s="50"/>
      <c r="J46" s="6"/>
      <c r="K46" s="9"/>
      <c r="L46" s="3"/>
      <c r="M46" s="3"/>
      <c r="N46" s="15"/>
      <c r="O46" s="15"/>
      <c r="P46" s="15"/>
      <c r="Q46" s="15"/>
      <c r="R46" s="15"/>
      <c r="S46" s="15"/>
      <c r="T46" s="15"/>
      <c r="U46" s="15"/>
      <c r="V46" s="15"/>
      <c r="W46" s="15"/>
      <c r="X46" s="15"/>
      <c r="Y46" s="15"/>
      <c r="Z46" s="15"/>
      <c r="AA46" s="15"/>
      <c r="AB46" s="15">
        <f>H40*E5</f>
        <v>210381.92910000004</v>
      </c>
      <c r="AE46" s="201">
        <f>SUM(H35:H43)</f>
        <v>561.93282275000001</v>
      </c>
    </row>
    <row r="47" spans="1:31" ht="15.4" hidden="1">
      <c r="A47" s="26" t="s">
        <v>116</v>
      </c>
      <c r="B47" s="23"/>
      <c r="C47" s="48"/>
      <c r="D47" s="23"/>
      <c r="E47" s="23"/>
      <c r="F47" s="51">
        <f>E5</f>
        <v>400</v>
      </c>
      <c r="G47" s="224"/>
      <c r="H47" s="18" t="s">
        <v>117</v>
      </c>
      <c r="I47" s="30"/>
      <c r="J47" s="6"/>
      <c r="K47" s="9"/>
      <c r="L47" s="9"/>
      <c r="M47" s="3"/>
      <c r="N47" s="15"/>
      <c r="O47" s="15"/>
      <c r="P47" s="15"/>
      <c r="Q47" s="15"/>
      <c r="R47" s="15"/>
      <c r="S47" s="15"/>
      <c r="T47" s="15"/>
      <c r="U47" s="15"/>
      <c r="V47" s="15"/>
      <c r="W47" s="15"/>
      <c r="X47" s="15"/>
      <c r="Y47" s="15"/>
      <c r="Z47" s="15"/>
      <c r="AA47" s="15"/>
      <c r="AB47" s="17">
        <f>I201+I200</f>
        <v>13200</v>
      </c>
    </row>
    <row r="48" spans="1:31" ht="15.4" hidden="1">
      <c r="A48" s="26" t="s">
        <v>118</v>
      </c>
      <c r="B48" s="23"/>
      <c r="C48" s="48"/>
      <c r="D48" s="52"/>
      <c r="E48" s="23"/>
      <c r="F48" s="31"/>
      <c r="G48" s="31"/>
      <c r="H48" s="23"/>
      <c r="I48" s="28"/>
      <c r="J48" s="5"/>
      <c r="K48" s="9"/>
      <c r="L48" s="9"/>
      <c r="M48" s="3"/>
      <c r="N48" s="15"/>
      <c r="O48" s="15"/>
      <c r="P48" s="15"/>
      <c r="Q48" s="15"/>
      <c r="R48" s="15"/>
      <c r="S48" s="15"/>
      <c r="T48" s="15"/>
      <c r="U48" s="15"/>
      <c r="V48" s="15"/>
      <c r="W48" s="15"/>
      <c r="X48" s="15"/>
      <c r="Y48" s="15"/>
      <c r="Z48" s="15"/>
      <c r="AA48" s="15"/>
      <c r="AB48" s="15">
        <f>E5+E11</f>
        <v>406</v>
      </c>
    </row>
    <row r="49" spans="1:29" ht="15.4" hidden="1">
      <c r="A49" s="26"/>
      <c r="B49" s="23"/>
      <c r="C49" s="23"/>
      <c r="D49" s="23"/>
      <c r="E49" s="23"/>
      <c r="F49" s="23"/>
      <c r="G49" s="23"/>
      <c r="H49" s="23"/>
      <c r="I49" s="28"/>
      <c r="J49" s="6"/>
      <c r="K49" s="9"/>
      <c r="L49" s="9"/>
      <c r="M49" s="3"/>
      <c r="N49" s="15"/>
      <c r="O49" s="15"/>
      <c r="P49" s="15"/>
      <c r="Q49" s="15"/>
      <c r="R49" s="15"/>
      <c r="S49" s="15"/>
      <c r="T49" s="15"/>
      <c r="U49" s="15"/>
      <c r="V49" s="15"/>
      <c r="W49" s="15"/>
      <c r="X49" s="15"/>
      <c r="Y49" s="15"/>
      <c r="Z49" s="15"/>
      <c r="AA49" s="15"/>
      <c r="AB49" s="15">
        <f>I42/E42</f>
        <v>1.2000000000000002</v>
      </c>
    </row>
    <row r="50" spans="1:29" ht="15.4">
      <c r="A50" s="26" t="s">
        <v>119</v>
      </c>
      <c r="B50" s="23"/>
      <c r="C50" s="48"/>
      <c r="D50" s="23"/>
      <c r="E50" s="36"/>
      <c r="F50" s="36"/>
      <c r="G50" s="36"/>
      <c r="H50" s="36"/>
      <c r="I50" s="39" t="s">
        <v>99</v>
      </c>
      <c r="J50" s="6"/>
      <c r="K50" s="9"/>
      <c r="L50" s="9"/>
      <c r="M50" s="3"/>
      <c r="N50" s="15"/>
      <c r="O50" s="15"/>
      <c r="P50" s="15"/>
      <c r="Q50" s="15"/>
      <c r="R50" s="15"/>
      <c r="S50" s="15"/>
      <c r="T50" s="15"/>
      <c r="U50" s="15"/>
      <c r="V50" s="15"/>
      <c r="W50" s="15"/>
      <c r="X50" s="15"/>
      <c r="Y50" s="15"/>
      <c r="Z50" s="15"/>
      <c r="AA50" s="15"/>
      <c r="AB50" s="15">
        <f>I42/E5</f>
        <v>1.2180000000000002</v>
      </c>
    </row>
    <row r="51" spans="1:29" ht="15.4">
      <c r="A51" s="26" t="s">
        <v>120</v>
      </c>
      <c r="B51" s="23"/>
      <c r="C51" s="23"/>
      <c r="D51" s="23"/>
      <c r="E51" s="36"/>
      <c r="F51" s="36"/>
      <c r="G51" s="36"/>
      <c r="H51" s="36" t="s">
        <v>103</v>
      </c>
      <c r="I51" s="39" t="str">
        <f>AB54</f>
        <v xml:space="preserve"> 400 Ewes</v>
      </c>
      <c r="J51" s="1"/>
      <c r="K51" s="3"/>
      <c r="L51" s="9"/>
      <c r="M51" s="3"/>
      <c r="N51" s="15"/>
      <c r="O51" s="15"/>
      <c r="P51" s="15"/>
      <c r="Q51" s="15"/>
      <c r="R51" s="15"/>
      <c r="S51" s="15"/>
      <c r="T51" s="15"/>
      <c r="U51" s="15"/>
      <c r="V51" s="15"/>
      <c r="W51" s="15"/>
      <c r="X51" s="15"/>
      <c r="Y51" s="15"/>
      <c r="Z51" s="15"/>
      <c r="AA51" s="15"/>
      <c r="AB51" s="15">
        <f>B41*B42*E42</f>
        <v>487.20000000000005</v>
      </c>
    </row>
    <row r="52" spans="1:29" ht="15.4">
      <c r="A52" s="131" t="s">
        <v>121</v>
      </c>
      <c r="B52" s="132"/>
      <c r="C52" s="133"/>
      <c r="D52" s="132"/>
      <c r="E52" s="134"/>
      <c r="F52" s="134"/>
      <c r="G52" s="134"/>
      <c r="H52" s="134" t="s">
        <v>122</v>
      </c>
      <c r="I52" s="135" t="s">
        <v>123</v>
      </c>
      <c r="J52" s="5"/>
      <c r="K52" s="3"/>
      <c r="L52" s="9"/>
      <c r="M52" s="3"/>
      <c r="N52" s="15"/>
      <c r="O52" s="15"/>
      <c r="P52" s="15"/>
      <c r="Q52" s="15"/>
      <c r="R52" s="15"/>
      <c r="S52" s="15"/>
      <c r="T52" s="15"/>
      <c r="U52" s="15"/>
      <c r="V52" s="15"/>
      <c r="W52" s="15"/>
      <c r="X52" s="15"/>
      <c r="Y52" s="15"/>
      <c r="Z52" s="15"/>
      <c r="AA52" s="15"/>
      <c r="AB52" s="17">
        <f>SUM(I35:I42)</f>
        <v>224773.12910000005</v>
      </c>
    </row>
    <row r="53" spans="1:29" ht="30.95">
      <c r="A53" s="26" t="s">
        <v>124</v>
      </c>
      <c r="B53" s="23"/>
      <c r="C53" s="108" t="s">
        <v>125</v>
      </c>
      <c r="D53" s="36" t="s">
        <v>126</v>
      </c>
      <c r="E53" s="36" t="s">
        <v>127</v>
      </c>
      <c r="F53" s="36" t="s">
        <v>128</v>
      </c>
      <c r="G53" s="36" t="s">
        <v>129</v>
      </c>
      <c r="H53" s="23"/>
      <c r="I53" s="28"/>
      <c r="J53" s="5"/>
      <c r="K53" s="3"/>
      <c r="L53" s="3"/>
      <c r="M53" s="3"/>
      <c r="N53" s="15"/>
      <c r="O53" s="15"/>
      <c r="P53" s="15"/>
      <c r="Q53" s="15"/>
      <c r="R53" s="15"/>
      <c r="S53" s="15"/>
      <c r="T53" s="15"/>
      <c r="U53" s="15"/>
      <c r="V53" s="15"/>
      <c r="W53" s="15"/>
      <c r="X53" s="15"/>
      <c r="Y53" s="15"/>
      <c r="Z53" s="15"/>
      <c r="AA53" s="15"/>
      <c r="AB53" s="15" t="str">
        <f>""&amp;FIXED(F47,0,TRUE)&amp;" Ewes"</f>
        <v>400 Ewes</v>
      </c>
    </row>
    <row r="54" spans="1:29" ht="15.4">
      <c r="A54" s="105" t="s">
        <v>130</v>
      </c>
      <c r="B54" s="53" t="s">
        <v>131</v>
      </c>
      <c r="C54" s="235">
        <v>0.94</v>
      </c>
      <c r="D54" s="238">
        <v>2.3863636363636398</v>
      </c>
      <c r="E54" s="239">
        <f>F27*0.05</f>
        <v>48.378</v>
      </c>
      <c r="F54" s="239">
        <v>30</v>
      </c>
      <c r="G54" s="41">
        <f>F54*C54</f>
        <v>28.2</v>
      </c>
      <c r="H54" s="41">
        <f t="shared" ref="H54:H62" si="2">AB55</f>
        <v>8.1390487500000113</v>
      </c>
      <c r="I54" s="42">
        <f t="shared" ref="I54:I62" si="3">AC54</f>
        <v>3255.6195000000043</v>
      </c>
      <c r="J54" s="1"/>
      <c r="K54" s="3"/>
      <c r="L54" s="3"/>
      <c r="M54" s="3"/>
      <c r="N54" s="15"/>
      <c r="O54" s="15"/>
      <c r="P54" s="15"/>
      <c r="Q54" s="15"/>
      <c r="R54" s="15"/>
      <c r="S54" s="15"/>
      <c r="T54" s="15"/>
      <c r="U54" s="15"/>
      <c r="V54" s="15"/>
      <c r="W54" s="15"/>
      <c r="X54" s="15"/>
      <c r="Y54" s="15"/>
      <c r="Z54" s="15"/>
      <c r="AA54" s="15"/>
      <c r="AB54" s="15" t="str">
        <f>" "&amp;FIXED(E5,0,TRUE)&amp;" Ewes"</f>
        <v xml:space="preserve"> 400 Ewes</v>
      </c>
      <c r="AC54" s="15">
        <f>H54*E5</f>
        <v>3255.6195000000043</v>
      </c>
    </row>
    <row r="55" spans="1:29" ht="15.4">
      <c r="A55" s="105" t="s">
        <v>132</v>
      </c>
      <c r="B55" s="53" t="s">
        <v>131</v>
      </c>
      <c r="C55" s="235">
        <v>0.69</v>
      </c>
      <c r="D55" s="238">
        <v>0.36281179138322001</v>
      </c>
      <c r="E55" s="239">
        <f>F27</f>
        <v>967.56</v>
      </c>
      <c r="F55" s="239">
        <v>50</v>
      </c>
      <c r="G55" s="41">
        <f t="shared" ref="G55:G62" si="4">F55*C55</f>
        <v>34.5</v>
      </c>
      <c r="H55" s="41">
        <f t="shared" si="2"/>
        <v>30.277387755102041</v>
      </c>
      <c r="I55" s="42">
        <f t="shared" si="3"/>
        <v>12110.955102040816</v>
      </c>
      <c r="J55" s="5"/>
      <c r="K55" s="3"/>
      <c r="L55" s="3"/>
      <c r="M55" s="3"/>
      <c r="N55" s="15"/>
      <c r="O55" s="15"/>
      <c r="P55" s="15"/>
      <c r="Q55" s="15"/>
      <c r="R55" s="15"/>
      <c r="S55" s="15"/>
      <c r="T55" s="15"/>
      <c r="U55" s="15"/>
      <c r="V55" s="15"/>
      <c r="W55" s="15"/>
      <c r="X55" s="15"/>
      <c r="Y55" s="15"/>
      <c r="Z55" s="15"/>
      <c r="AA55" s="15"/>
      <c r="AB55" s="15">
        <f>(C54*D54*E54*F54)/$F$47</f>
        <v>8.1390487500000113</v>
      </c>
      <c r="AC55" s="15">
        <f>H55*E5</f>
        <v>12110.955102040816</v>
      </c>
    </row>
    <row r="56" spans="1:29" ht="15.4">
      <c r="A56" s="105" t="s">
        <v>133</v>
      </c>
      <c r="B56" s="53" t="s">
        <v>131</v>
      </c>
      <c r="C56" s="235">
        <v>1.94</v>
      </c>
      <c r="D56" s="238">
        <v>0.182</v>
      </c>
      <c r="E56" s="239">
        <f>E55*0.88</f>
        <v>851.45279999999991</v>
      </c>
      <c r="F56" s="239">
        <v>60</v>
      </c>
      <c r="G56" s="41">
        <f t="shared" si="4"/>
        <v>116.39999999999999</v>
      </c>
      <c r="H56" s="41">
        <f t="shared" si="2"/>
        <v>45.094643193599993</v>
      </c>
      <c r="I56" s="42">
        <f t="shared" si="3"/>
        <v>18037.857277439998</v>
      </c>
      <c r="J56" s="5"/>
      <c r="K56" s="3"/>
      <c r="L56" s="9"/>
      <c r="M56" s="3"/>
      <c r="N56" s="15"/>
      <c r="O56" s="15"/>
      <c r="P56" s="15"/>
      <c r="Q56" s="15"/>
      <c r="R56" s="15"/>
      <c r="S56" s="15"/>
      <c r="T56" s="15"/>
      <c r="U56" s="15"/>
      <c r="V56" s="15"/>
      <c r="W56" s="15"/>
      <c r="X56" s="15"/>
      <c r="Y56" s="15"/>
      <c r="Z56" s="15"/>
      <c r="AA56" s="15"/>
      <c r="AB56" s="15">
        <f>(C55*D55*E55*F55)/$F$47</f>
        <v>30.277387755102041</v>
      </c>
      <c r="AC56" s="15">
        <f>H56*E5</f>
        <v>18037.857277439998</v>
      </c>
    </row>
    <row r="57" spans="1:29" ht="15.4">
      <c r="A57" s="105" t="s">
        <v>134</v>
      </c>
      <c r="B57" s="53" t="s">
        <v>131</v>
      </c>
      <c r="C57" s="235">
        <v>3.25</v>
      </c>
      <c r="D57" s="238">
        <v>0.17</v>
      </c>
      <c r="E57" s="239">
        <f>E56*0.97</f>
        <v>825.9092159999999</v>
      </c>
      <c r="F57" s="239">
        <v>45</v>
      </c>
      <c r="G57" s="41">
        <f t="shared" si="4"/>
        <v>146.25</v>
      </c>
      <c r="H57" s="41">
        <f t="shared" si="2"/>
        <v>51.335419706999993</v>
      </c>
      <c r="I57" s="42">
        <f t="shared" si="3"/>
        <v>20534.167882799997</v>
      </c>
      <c r="J57" s="5"/>
      <c r="K57" s="3"/>
      <c r="L57" s="3"/>
      <c r="M57" s="3"/>
      <c r="N57" s="15"/>
      <c r="O57" s="15"/>
      <c r="P57" s="15"/>
      <c r="Q57" s="15"/>
      <c r="R57" s="15"/>
      <c r="S57" s="15"/>
      <c r="T57" s="15"/>
      <c r="U57" s="15"/>
      <c r="V57" s="15"/>
      <c r="W57" s="15"/>
      <c r="X57" s="15"/>
      <c r="Y57" s="15"/>
      <c r="Z57" s="15"/>
      <c r="AA57" s="15"/>
      <c r="AB57" s="15">
        <f>(C56*D56*E56*F56)/$F$47</f>
        <v>45.094643193599993</v>
      </c>
      <c r="AC57" s="15">
        <f>H57*E5</f>
        <v>20534.167882799997</v>
      </c>
    </row>
    <row r="58" spans="1:29" ht="15.4">
      <c r="A58" s="105" t="s">
        <v>135</v>
      </c>
      <c r="B58" s="23"/>
      <c r="C58" s="235">
        <v>0.5</v>
      </c>
      <c r="D58" s="238">
        <v>9.0702947845805001E-2</v>
      </c>
      <c r="E58" s="239">
        <f>E57</f>
        <v>825.9092159999999</v>
      </c>
      <c r="F58" s="239">
        <v>105</v>
      </c>
      <c r="G58" s="41">
        <f t="shared" si="4"/>
        <v>52.5</v>
      </c>
      <c r="H58" s="41">
        <f t="shared" si="2"/>
        <v>9.8322525714285707</v>
      </c>
      <c r="I58" s="42">
        <f t="shared" si="3"/>
        <v>3932.9010285714285</v>
      </c>
      <c r="J58" s="1"/>
      <c r="K58" s="3"/>
      <c r="L58" s="3"/>
      <c r="M58" s="3"/>
      <c r="N58" s="15"/>
      <c r="O58" s="15"/>
      <c r="P58" s="15"/>
      <c r="Q58" s="15"/>
      <c r="R58" s="15"/>
      <c r="S58" s="15"/>
      <c r="T58" s="15"/>
      <c r="U58" s="15"/>
      <c r="V58" s="15"/>
      <c r="W58" s="15"/>
      <c r="X58" s="15"/>
      <c r="Y58" s="15"/>
      <c r="Z58" s="15"/>
      <c r="AA58" s="15"/>
      <c r="AB58" s="15">
        <f>(C57*D57*E57*F57)/$F$47</f>
        <v>51.335419706999993</v>
      </c>
      <c r="AC58" s="15">
        <f>H58*E5</f>
        <v>3932.9010285714285</v>
      </c>
    </row>
    <row r="59" spans="1:29" ht="15.4">
      <c r="A59" s="105" t="s">
        <v>136</v>
      </c>
      <c r="B59" s="35"/>
      <c r="C59" s="235">
        <v>1</v>
      </c>
      <c r="D59" s="238">
        <v>0.23</v>
      </c>
      <c r="E59" s="239">
        <f>E10</f>
        <v>72</v>
      </c>
      <c r="F59" s="239">
        <v>40</v>
      </c>
      <c r="G59" s="41">
        <f t="shared" si="4"/>
        <v>40</v>
      </c>
      <c r="H59" s="41">
        <f t="shared" si="2"/>
        <v>1.6560000000000001</v>
      </c>
      <c r="I59" s="42">
        <f t="shared" si="3"/>
        <v>662.40000000000009</v>
      </c>
      <c r="J59" s="5"/>
      <c r="K59" s="3"/>
      <c r="L59" s="3"/>
      <c r="M59" s="3"/>
      <c r="N59" s="15"/>
      <c r="O59" s="15"/>
      <c r="P59" s="15"/>
      <c r="Q59" s="15"/>
      <c r="R59" s="15"/>
      <c r="S59" s="15"/>
      <c r="T59" s="15"/>
      <c r="U59" s="15"/>
      <c r="V59" s="15"/>
      <c r="W59" s="15"/>
      <c r="X59" s="15"/>
      <c r="Y59" s="15"/>
      <c r="Z59" s="15"/>
      <c r="AA59" s="15"/>
      <c r="AB59" s="15">
        <f>(C58*D58*E58*F58)/$F$47</f>
        <v>9.8322525714285707</v>
      </c>
      <c r="AC59" s="15">
        <f>H59*E5</f>
        <v>662.40000000000009</v>
      </c>
    </row>
    <row r="60" spans="1:29" ht="15.4">
      <c r="A60" s="105" t="s">
        <v>137</v>
      </c>
      <c r="B60" s="35"/>
      <c r="C60" s="235">
        <v>2.6</v>
      </c>
      <c r="D60" s="238">
        <v>3.08390022675737E-2</v>
      </c>
      <c r="E60" s="239">
        <f>E10</f>
        <v>72</v>
      </c>
      <c r="F60" s="239">
        <v>40</v>
      </c>
      <c r="G60" s="41">
        <f t="shared" si="4"/>
        <v>104</v>
      </c>
      <c r="H60" s="41">
        <f t="shared" si="2"/>
        <v>0.57730612244897972</v>
      </c>
      <c r="I60" s="42">
        <f t="shared" si="3"/>
        <v>230.92244897959188</v>
      </c>
      <c r="J60" s="5"/>
      <c r="K60" s="3"/>
      <c r="L60" s="3"/>
      <c r="M60" s="3"/>
      <c r="N60" s="15"/>
      <c r="O60" s="15"/>
      <c r="P60" s="15"/>
      <c r="Q60" s="15"/>
      <c r="R60" s="15"/>
      <c r="S60" s="15"/>
      <c r="T60" s="15"/>
      <c r="U60" s="15"/>
      <c r="V60" s="15"/>
      <c r="W60" s="15"/>
      <c r="X60" s="15"/>
      <c r="Y60" s="15"/>
      <c r="Z60" s="15"/>
      <c r="AA60" s="15"/>
      <c r="AB60" s="15">
        <f>(C59*D59*E59*F59)/F47</f>
        <v>1.6560000000000001</v>
      </c>
      <c r="AC60" s="15">
        <f>H60*E5</f>
        <v>230.92244897959188</v>
      </c>
    </row>
    <row r="61" spans="1:29" ht="15.4">
      <c r="A61" s="105" t="s">
        <v>138</v>
      </c>
      <c r="B61" s="35"/>
      <c r="C61" s="238">
        <v>1.0999999999999999E-2</v>
      </c>
      <c r="D61" s="238">
        <v>0.72562358276644001</v>
      </c>
      <c r="E61" s="239">
        <f>F27*0.88</f>
        <v>851.45279999999991</v>
      </c>
      <c r="F61" s="239">
        <v>105</v>
      </c>
      <c r="G61" s="41">
        <f t="shared" si="4"/>
        <v>1.155</v>
      </c>
      <c r="H61" s="41">
        <f t="shared" si="2"/>
        <v>1.7839963428571428</v>
      </c>
      <c r="I61" s="42">
        <f t="shared" si="3"/>
        <v>713.59853714285714</v>
      </c>
      <c r="J61" s="5"/>
      <c r="K61" s="3"/>
      <c r="L61" s="3"/>
      <c r="M61" s="3"/>
      <c r="N61" s="15"/>
      <c r="O61" s="15"/>
      <c r="P61" s="15"/>
      <c r="Q61" s="15"/>
      <c r="R61" s="15"/>
      <c r="S61" s="15"/>
      <c r="T61" s="15"/>
      <c r="U61" s="15"/>
      <c r="V61" s="15"/>
      <c r="W61" s="15"/>
      <c r="X61" s="15"/>
      <c r="Y61" s="15"/>
      <c r="Z61" s="15"/>
      <c r="AA61" s="15"/>
      <c r="AB61" s="15">
        <f>(C60*D60*E60*F60)/F47</f>
        <v>0.57730612244897972</v>
      </c>
      <c r="AC61" s="15">
        <f>H61*E5</f>
        <v>713.59853714285714</v>
      </c>
    </row>
    <row r="62" spans="1:29" ht="15.4">
      <c r="A62" s="105" t="s">
        <v>139</v>
      </c>
      <c r="B62" s="23"/>
      <c r="C62" s="238">
        <v>1.0999999999999999E-2</v>
      </c>
      <c r="D62" s="238">
        <v>0.22675736961451201</v>
      </c>
      <c r="E62" s="239">
        <f>F27*0.88</f>
        <v>851.45279999999991</v>
      </c>
      <c r="F62" s="239">
        <v>105</v>
      </c>
      <c r="G62" s="41">
        <f t="shared" si="4"/>
        <v>1.155</v>
      </c>
      <c r="H62" s="41">
        <f t="shared" si="2"/>
        <v>0.55749885714285596</v>
      </c>
      <c r="I62" s="42">
        <f t="shared" si="3"/>
        <v>222.99954285714239</v>
      </c>
      <c r="J62" s="5"/>
      <c r="K62" s="3"/>
      <c r="L62" s="3"/>
      <c r="M62" s="3"/>
      <c r="N62" s="15"/>
      <c r="O62" s="15"/>
      <c r="P62" s="15"/>
      <c r="Q62" s="15"/>
      <c r="R62" s="15"/>
      <c r="S62" s="15"/>
      <c r="T62" s="15"/>
      <c r="U62" s="15"/>
      <c r="V62" s="15"/>
      <c r="W62" s="15"/>
      <c r="X62" s="15"/>
      <c r="Y62" s="15"/>
      <c r="Z62" s="15"/>
      <c r="AA62" s="15"/>
      <c r="AB62" s="15">
        <f>(C61*D61*E61*F61)/F47</f>
        <v>1.7839963428571428</v>
      </c>
      <c r="AC62" s="15">
        <f>H62*E5</f>
        <v>222.99954285714239</v>
      </c>
    </row>
    <row r="63" spans="1:29" ht="15.4" hidden="1">
      <c r="A63" s="34"/>
      <c r="B63" s="23"/>
      <c r="C63" s="32"/>
      <c r="D63" s="32"/>
      <c r="E63" s="23"/>
      <c r="F63" s="23"/>
      <c r="G63" s="23"/>
      <c r="H63" s="23"/>
      <c r="I63" s="30"/>
      <c r="J63" s="1"/>
      <c r="K63" s="3"/>
      <c r="L63" s="3"/>
      <c r="M63" s="3"/>
      <c r="N63" s="15"/>
      <c r="O63" s="15"/>
      <c r="P63" s="15"/>
      <c r="Q63" s="15"/>
      <c r="R63" s="15"/>
      <c r="S63" s="15"/>
      <c r="T63" s="15"/>
      <c r="U63" s="15"/>
      <c r="V63" s="15"/>
      <c r="W63" s="15"/>
      <c r="X63" s="15"/>
      <c r="Y63" s="15"/>
      <c r="Z63" s="15"/>
      <c r="AA63" s="15"/>
      <c r="AB63" s="15">
        <f>(C62*D62*E62*F62)/F47</f>
        <v>0.55749885714285596</v>
      </c>
    </row>
    <row r="64" spans="1:29" ht="15.4" hidden="1">
      <c r="A64" s="34"/>
      <c r="B64" s="23"/>
      <c r="C64" s="23"/>
      <c r="D64" s="32"/>
      <c r="E64" s="32"/>
      <c r="F64" s="23"/>
      <c r="G64" s="23"/>
      <c r="H64" s="23"/>
      <c r="I64" s="30"/>
      <c r="J64" s="1"/>
      <c r="K64" s="3"/>
      <c r="L64" s="3"/>
      <c r="M64" s="3"/>
      <c r="N64" s="15"/>
      <c r="O64" s="15"/>
      <c r="P64" s="15"/>
      <c r="Q64" s="15"/>
      <c r="R64" s="15"/>
      <c r="S64" s="15"/>
      <c r="T64" s="15"/>
      <c r="U64" s="15"/>
      <c r="V64" s="15"/>
      <c r="W64" s="15"/>
      <c r="X64" s="15"/>
      <c r="Y64" s="15"/>
      <c r="Z64" s="15"/>
      <c r="AA64" s="15"/>
    </row>
    <row r="65" spans="1:29" ht="15.4" hidden="1">
      <c r="A65" s="26" t="s">
        <v>140</v>
      </c>
      <c r="B65" s="23"/>
      <c r="C65" s="23"/>
      <c r="D65" s="23"/>
      <c r="E65" s="23"/>
      <c r="F65" s="23"/>
      <c r="G65" s="23"/>
      <c r="H65" s="23"/>
      <c r="I65" s="28"/>
      <c r="J65" s="1"/>
      <c r="K65" s="3"/>
      <c r="L65" s="3"/>
      <c r="M65" s="3"/>
      <c r="N65" s="15"/>
      <c r="O65" s="15"/>
      <c r="P65" s="15"/>
      <c r="Q65" s="15"/>
      <c r="R65" s="15"/>
      <c r="S65" s="15"/>
      <c r="T65" s="15"/>
      <c r="U65" s="15"/>
      <c r="V65" s="15"/>
      <c r="W65" s="15"/>
      <c r="X65" s="15"/>
      <c r="Y65" s="15"/>
      <c r="Z65" s="15"/>
      <c r="AA65" s="15"/>
    </row>
    <row r="66" spans="1:29" ht="15.4" hidden="1">
      <c r="A66" s="26" t="s">
        <v>141</v>
      </c>
      <c r="B66" s="23"/>
      <c r="C66" s="24"/>
      <c r="D66" s="29">
        <f>E5</f>
        <v>400</v>
      </c>
      <c r="E66" s="18" t="s">
        <v>142</v>
      </c>
      <c r="F66" s="23"/>
      <c r="G66" s="23"/>
      <c r="H66" s="41">
        <f ca="1">AB140</f>
        <v>0</v>
      </c>
      <c r="I66" s="42">
        <f ca="1">AB141</f>
        <v>0</v>
      </c>
      <c r="J66" s="5"/>
      <c r="K66" s="3"/>
      <c r="L66" s="3"/>
      <c r="M66" s="3"/>
      <c r="N66" s="15"/>
      <c r="O66" s="15"/>
      <c r="P66" s="15"/>
      <c r="Q66" s="15"/>
      <c r="R66" s="15"/>
      <c r="S66" s="15"/>
      <c r="T66" s="15"/>
      <c r="U66" s="15"/>
      <c r="V66" s="15"/>
      <c r="W66" s="15"/>
      <c r="X66" s="15"/>
      <c r="Y66" s="15"/>
      <c r="Z66" s="15"/>
      <c r="AA66" s="15"/>
    </row>
    <row r="67" spans="1:29" ht="15.4" hidden="1">
      <c r="A67" s="26"/>
      <c r="B67" s="23"/>
      <c r="C67" s="24"/>
      <c r="D67" s="23"/>
      <c r="E67" s="23"/>
      <c r="F67" s="23"/>
      <c r="G67" s="23"/>
      <c r="H67" s="23"/>
      <c r="I67" s="54"/>
      <c r="J67" s="5"/>
      <c r="K67" s="3"/>
      <c r="L67" s="3"/>
      <c r="M67" s="3"/>
      <c r="N67" s="15"/>
      <c r="O67" s="15"/>
      <c r="P67" s="15"/>
      <c r="Q67" s="15"/>
      <c r="R67" s="15"/>
      <c r="S67" s="15"/>
      <c r="T67" s="15"/>
      <c r="U67" s="15"/>
      <c r="V67" s="15"/>
      <c r="W67" s="15"/>
      <c r="X67" s="15"/>
      <c r="Y67" s="15"/>
      <c r="Z67" s="15"/>
      <c r="AA67" s="15"/>
    </row>
    <row r="68" spans="1:29" ht="15.4" hidden="1">
      <c r="A68" s="26"/>
      <c r="B68" s="18" t="s">
        <v>143</v>
      </c>
      <c r="C68" s="24"/>
      <c r="D68" s="23"/>
      <c r="E68" s="23"/>
      <c r="F68" s="23"/>
      <c r="G68" s="23"/>
      <c r="H68" s="31"/>
      <c r="I68" s="28"/>
      <c r="J68" s="1"/>
      <c r="K68" s="3"/>
      <c r="L68" s="3"/>
      <c r="M68" s="3"/>
      <c r="N68" s="15"/>
      <c r="O68" s="15"/>
      <c r="P68" s="15"/>
      <c r="Q68" s="15"/>
      <c r="R68" s="15"/>
      <c r="S68" s="15"/>
      <c r="T68" s="15"/>
      <c r="U68" s="15"/>
      <c r="V68" s="15"/>
      <c r="W68" s="15"/>
      <c r="X68" s="15"/>
      <c r="Y68" s="15"/>
      <c r="Z68" s="15"/>
      <c r="AA68" s="15"/>
    </row>
    <row r="69" spans="1:29" ht="15.4">
      <c r="A69" s="26"/>
      <c r="B69" s="18"/>
      <c r="C69" s="24"/>
      <c r="D69" s="23"/>
      <c r="E69" s="23"/>
      <c r="F69" s="23"/>
      <c r="G69" s="23"/>
      <c r="H69" s="31"/>
      <c r="I69" s="28"/>
      <c r="J69" s="5"/>
      <c r="K69" s="3"/>
      <c r="L69" s="3"/>
      <c r="M69" s="3"/>
      <c r="N69" s="15"/>
      <c r="O69" s="15"/>
      <c r="P69" s="15"/>
      <c r="Q69" s="15"/>
      <c r="R69" s="15"/>
      <c r="S69" s="15"/>
      <c r="T69" s="15"/>
      <c r="U69" s="15"/>
      <c r="V69" s="15"/>
      <c r="W69" s="15"/>
      <c r="X69" s="15"/>
      <c r="Y69" s="15"/>
      <c r="Z69" s="15"/>
      <c r="AA69" s="15"/>
    </row>
    <row r="70" spans="1:29" ht="30.95">
      <c r="A70" s="26" t="s">
        <v>144</v>
      </c>
      <c r="B70" s="23"/>
      <c r="C70" s="108" t="s">
        <v>125</v>
      </c>
      <c r="D70" s="36" t="s">
        <v>126</v>
      </c>
      <c r="E70" s="36" t="s">
        <v>127</v>
      </c>
      <c r="F70" s="36" t="s">
        <v>128</v>
      </c>
      <c r="G70" s="36" t="s">
        <v>129</v>
      </c>
      <c r="H70" s="43"/>
      <c r="I70" s="28"/>
      <c r="J70" s="5"/>
      <c r="K70" s="3"/>
      <c r="L70" s="3"/>
      <c r="M70" s="3"/>
      <c r="N70" s="15"/>
      <c r="O70" s="15"/>
      <c r="P70" s="15"/>
      <c r="Q70" s="15"/>
      <c r="R70" s="15"/>
      <c r="S70" s="15"/>
      <c r="T70" s="15"/>
      <c r="U70" s="15"/>
      <c r="V70" s="15"/>
      <c r="W70" s="15"/>
      <c r="X70" s="15"/>
      <c r="Y70" s="15"/>
      <c r="Z70" s="15"/>
      <c r="AA70" s="15"/>
    </row>
    <row r="71" spans="1:29" ht="15.4">
      <c r="A71" s="105" t="s">
        <v>145</v>
      </c>
      <c r="B71" s="53" t="s">
        <v>146</v>
      </c>
      <c r="C71" s="235">
        <v>4</v>
      </c>
      <c r="D71" s="238">
        <v>7.7097505668934196E-2</v>
      </c>
      <c r="E71" s="239">
        <f>$E$5-$E$10</f>
        <v>328</v>
      </c>
      <c r="F71" s="239">
        <v>42</v>
      </c>
      <c r="G71" s="41">
        <f t="shared" ref="G71:G103" si="5">F71*C71</f>
        <v>168</v>
      </c>
      <c r="H71" s="41">
        <f t="shared" ref="H71:H103" si="6">AB72</f>
        <v>10.620952380952374</v>
      </c>
      <c r="I71" s="188">
        <f>AC71</f>
        <v>4248.3809523809496</v>
      </c>
      <c r="J71" s="7"/>
      <c r="K71" s="3"/>
      <c r="L71" s="3"/>
      <c r="M71" s="3"/>
      <c r="N71" s="15"/>
      <c r="O71" s="15"/>
      <c r="P71" s="15"/>
      <c r="Q71" s="15"/>
      <c r="R71" s="15"/>
      <c r="S71" s="15"/>
      <c r="T71" s="15"/>
      <c r="U71" s="15"/>
      <c r="V71" s="15"/>
      <c r="W71" s="15"/>
      <c r="X71" s="15"/>
      <c r="Y71" s="15"/>
      <c r="Z71" s="15"/>
      <c r="AA71" s="15"/>
      <c r="AC71" s="15">
        <f t="shared" ref="AC71:AC104" si="7">H71*$E$5</f>
        <v>4248.3809523809496</v>
      </c>
    </row>
    <row r="72" spans="1:29" ht="15.4">
      <c r="A72" s="105"/>
      <c r="B72" s="53" t="s">
        <v>147</v>
      </c>
      <c r="C72" s="235"/>
      <c r="D72" s="238">
        <v>9.2970521541950096E-2</v>
      </c>
      <c r="E72" s="239">
        <f t="shared" ref="E72:E103" si="8">$E$5-$E$10</f>
        <v>328</v>
      </c>
      <c r="F72" s="239"/>
      <c r="G72" s="41">
        <f t="shared" si="5"/>
        <v>0</v>
      </c>
      <c r="H72" s="41">
        <f t="shared" si="6"/>
        <v>0</v>
      </c>
      <c r="I72" s="188">
        <f>AC72</f>
        <v>0</v>
      </c>
      <c r="J72" s="7"/>
      <c r="K72" s="3"/>
      <c r="L72" s="3"/>
      <c r="M72" s="3"/>
      <c r="N72" s="15"/>
      <c r="O72" s="15"/>
      <c r="P72" s="15"/>
      <c r="Q72" s="15"/>
      <c r="R72" s="15"/>
      <c r="S72" s="15"/>
      <c r="T72" s="15"/>
      <c r="U72" s="15"/>
      <c r="V72" s="15"/>
      <c r="W72" s="15"/>
      <c r="X72" s="15"/>
      <c r="Y72" s="15"/>
      <c r="Z72" s="15"/>
      <c r="AA72" s="15"/>
      <c r="AB72" s="15">
        <f t="shared" ref="AB72:AB104" si="9">(C71*D71*E71*F71)/$E$5</f>
        <v>10.620952380952374</v>
      </c>
      <c r="AC72" s="15">
        <f t="shared" si="7"/>
        <v>0</v>
      </c>
    </row>
    <row r="73" spans="1:29" ht="15.4">
      <c r="A73" s="105"/>
      <c r="B73" s="53" t="s">
        <v>148</v>
      </c>
      <c r="C73" s="235">
        <v>0.5</v>
      </c>
      <c r="D73" s="238">
        <v>0.12244897959183673</v>
      </c>
      <c r="E73" s="239">
        <f t="shared" si="8"/>
        <v>328</v>
      </c>
      <c r="F73" s="239">
        <v>63</v>
      </c>
      <c r="G73" s="41">
        <f t="shared" si="5"/>
        <v>31.5</v>
      </c>
      <c r="H73" s="41">
        <f t="shared" si="6"/>
        <v>3.1628571428571428</v>
      </c>
      <c r="I73" s="188">
        <f t="shared" ref="I73:I78" si="10">AC73</f>
        <v>1265.1428571428571</v>
      </c>
      <c r="J73" s="7"/>
      <c r="K73" s="3"/>
      <c r="L73" s="3"/>
      <c r="M73" s="3"/>
      <c r="N73" s="15"/>
      <c r="O73" s="15"/>
      <c r="P73" s="15"/>
      <c r="Q73" s="15"/>
      <c r="R73" s="15"/>
      <c r="S73" s="15"/>
      <c r="T73" s="15"/>
      <c r="U73" s="15"/>
      <c r="V73" s="15"/>
      <c r="W73" s="15"/>
      <c r="X73" s="15"/>
      <c r="Y73" s="15"/>
      <c r="Z73" s="15"/>
      <c r="AA73" s="15"/>
      <c r="AB73" s="15">
        <f t="shared" si="9"/>
        <v>0</v>
      </c>
      <c r="AC73" s="15">
        <f t="shared" si="7"/>
        <v>1265.1428571428571</v>
      </c>
    </row>
    <row r="74" spans="1:29" ht="15.4">
      <c r="A74" s="105"/>
      <c r="B74" s="53" t="s">
        <v>149</v>
      </c>
      <c r="C74" s="235"/>
      <c r="D74" s="238">
        <v>0.31292517006802723</v>
      </c>
      <c r="E74" s="239">
        <f t="shared" si="8"/>
        <v>328</v>
      </c>
      <c r="F74" s="239"/>
      <c r="G74" s="41">
        <f t="shared" si="5"/>
        <v>0</v>
      </c>
      <c r="H74" s="41">
        <f t="shared" si="6"/>
        <v>0</v>
      </c>
      <c r="I74" s="188">
        <f t="shared" si="10"/>
        <v>0</v>
      </c>
      <c r="J74" s="7"/>
      <c r="K74" s="3"/>
      <c r="L74" s="3"/>
      <c r="M74" s="3"/>
      <c r="N74" s="15"/>
      <c r="O74" s="15"/>
      <c r="P74" s="15"/>
      <c r="Q74" s="15"/>
      <c r="R74" s="15"/>
      <c r="S74" s="15"/>
      <c r="T74" s="15"/>
      <c r="U74" s="15"/>
      <c r="V74" s="15"/>
      <c r="W74" s="15"/>
      <c r="X74" s="15"/>
      <c r="Y74" s="15"/>
      <c r="Z74" s="15"/>
      <c r="AA74" s="15"/>
      <c r="AB74" s="15">
        <f t="shared" si="9"/>
        <v>3.1628571428571428</v>
      </c>
      <c r="AC74" s="15">
        <f t="shared" si="7"/>
        <v>0</v>
      </c>
    </row>
    <row r="75" spans="1:29" ht="15.4">
      <c r="A75" s="105"/>
      <c r="B75" s="53" t="s">
        <v>150</v>
      </c>
      <c r="C75" s="235"/>
      <c r="D75" s="238">
        <v>0.54421768707482998</v>
      </c>
      <c r="E75" s="239">
        <f t="shared" si="8"/>
        <v>328</v>
      </c>
      <c r="F75" s="239"/>
      <c r="G75" s="41">
        <f t="shared" si="5"/>
        <v>0</v>
      </c>
      <c r="H75" s="41">
        <f t="shared" si="6"/>
        <v>0</v>
      </c>
      <c r="I75" s="188">
        <f t="shared" si="10"/>
        <v>0</v>
      </c>
      <c r="J75" s="7"/>
      <c r="K75" s="3"/>
      <c r="L75" s="3"/>
      <c r="M75" s="3"/>
      <c r="N75" s="15"/>
      <c r="O75" s="15"/>
      <c r="P75" s="15"/>
      <c r="Q75" s="15"/>
      <c r="R75" s="15"/>
      <c r="S75" s="15"/>
      <c r="T75" s="15"/>
      <c r="U75" s="15"/>
      <c r="V75" s="15"/>
      <c r="W75" s="15"/>
      <c r="X75" s="15"/>
      <c r="Y75" s="15"/>
      <c r="Z75" s="15"/>
      <c r="AA75" s="15"/>
      <c r="AB75" s="15">
        <f t="shared" si="9"/>
        <v>0</v>
      </c>
      <c r="AC75" s="15">
        <f t="shared" si="7"/>
        <v>0</v>
      </c>
    </row>
    <row r="76" spans="1:29" ht="15.4">
      <c r="A76" s="105"/>
      <c r="B76" s="53" t="s">
        <v>137</v>
      </c>
      <c r="C76" s="235">
        <v>4</v>
      </c>
      <c r="D76" s="238">
        <v>3.0839002267573697E-2</v>
      </c>
      <c r="E76" s="239">
        <f t="shared" si="8"/>
        <v>328</v>
      </c>
      <c r="F76" s="239">
        <v>21</v>
      </c>
      <c r="G76" s="41">
        <f t="shared" si="5"/>
        <v>84</v>
      </c>
      <c r="H76" s="41">
        <f t="shared" si="6"/>
        <v>2.1241904761904764</v>
      </c>
      <c r="I76" s="188">
        <f t="shared" si="10"/>
        <v>849.67619047619053</v>
      </c>
      <c r="J76" s="7"/>
      <c r="K76" s="3"/>
      <c r="L76" s="3"/>
      <c r="M76" s="3"/>
      <c r="N76" s="15"/>
      <c r="O76" s="15"/>
      <c r="P76" s="15"/>
      <c r="Q76" s="15"/>
      <c r="R76" s="15"/>
      <c r="S76" s="15"/>
      <c r="T76" s="15"/>
      <c r="U76" s="15"/>
      <c r="V76" s="15"/>
      <c r="W76" s="15"/>
      <c r="X76" s="15"/>
      <c r="Y76" s="15"/>
      <c r="Z76" s="15"/>
      <c r="AA76" s="15"/>
      <c r="AB76" s="15">
        <f t="shared" si="9"/>
        <v>0</v>
      </c>
      <c r="AC76" s="15">
        <f t="shared" si="7"/>
        <v>849.67619047619053</v>
      </c>
    </row>
    <row r="77" spans="1:29" ht="15.4">
      <c r="A77" s="105" t="s">
        <v>151</v>
      </c>
      <c r="B77" s="53" t="s">
        <v>146</v>
      </c>
      <c r="C77" s="235">
        <v>4</v>
      </c>
      <c r="D77" s="238">
        <v>7.7097505668934196E-2</v>
      </c>
      <c r="E77" s="239">
        <f t="shared" si="8"/>
        <v>328</v>
      </c>
      <c r="F77" s="239">
        <v>71</v>
      </c>
      <c r="G77" s="41">
        <f t="shared" si="5"/>
        <v>284</v>
      </c>
      <c r="H77" s="41">
        <f t="shared" si="6"/>
        <v>17.954467120181395</v>
      </c>
      <c r="I77" s="188">
        <f t="shared" si="10"/>
        <v>7181.7868480725583</v>
      </c>
      <c r="J77" s="7"/>
      <c r="K77" s="3"/>
      <c r="L77" s="3"/>
      <c r="M77" s="3"/>
      <c r="N77" s="15"/>
      <c r="O77" s="15"/>
      <c r="P77" s="15"/>
      <c r="Q77" s="15"/>
      <c r="R77" s="15"/>
      <c r="S77" s="15"/>
      <c r="T77" s="15"/>
      <c r="U77" s="15"/>
      <c r="V77" s="15"/>
      <c r="W77" s="15"/>
      <c r="X77" s="15"/>
      <c r="Y77" s="15"/>
      <c r="Z77" s="15"/>
      <c r="AA77" s="15"/>
      <c r="AB77" s="15">
        <f t="shared" si="9"/>
        <v>2.1241904761904764</v>
      </c>
      <c r="AC77" s="15">
        <f t="shared" si="7"/>
        <v>7181.7868480725583</v>
      </c>
    </row>
    <row r="78" spans="1:29" ht="15.4">
      <c r="A78" s="105"/>
      <c r="B78" s="53" t="s">
        <v>147</v>
      </c>
      <c r="C78" s="235"/>
      <c r="D78" s="238">
        <v>9.2970521541950096E-2</v>
      </c>
      <c r="E78" s="239">
        <f t="shared" si="8"/>
        <v>328</v>
      </c>
      <c r="F78" s="239"/>
      <c r="G78" s="41">
        <f t="shared" si="5"/>
        <v>0</v>
      </c>
      <c r="H78" s="41">
        <f t="shared" si="6"/>
        <v>0</v>
      </c>
      <c r="I78" s="188">
        <f t="shared" si="10"/>
        <v>0</v>
      </c>
      <c r="J78" s="7"/>
      <c r="K78" s="3"/>
      <c r="L78" s="3"/>
      <c r="M78" s="3"/>
      <c r="N78" s="15"/>
      <c r="O78" s="15"/>
      <c r="P78" s="15"/>
      <c r="Q78" s="15"/>
      <c r="R78" s="15"/>
      <c r="S78" s="15"/>
      <c r="T78" s="15"/>
      <c r="U78" s="15"/>
      <c r="V78" s="15"/>
      <c r="W78" s="15"/>
      <c r="X78" s="15"/>
      <c r="Y78" s="15"/>
      <c r="Z78" s="15"/>
      <c r="AA78" s="15"/>
      <c r="AB78" s="15">
        <f t="shared" si="9"/>
        <v>17.954467120181395</v>
      </c>
      <c r="AC78" s="15">
        <f t="shared" si="7"/>
        <v>0</v>
      </c>
    </row>
    <row r="79" spans="1:29" ht="15.4">
      <c r="A79" s="105"/>
      <c r="B79" s="53" t="s">
        <v>148</v>
      </c>
      <c r="C79" s="235"/>
      <c r="D79" s="238">
        <v>0.12244897959183673</v>
      </c>
      <c r="E79" s="239">
        <f t="shared" si="8"/>
        <v>328</v>
      </c>
      <c r="F79" s="239"/>
      <c r="G79" s="41">
        <f t="shared" si="5"/>
        <v>0</v>
      </c>
      <c r="H79" s="41">
        <f t="shared" si="6"/>
        <v>0</v>
      </c>
      <c r="I79" s="188">
        <f t="shared" ref="I79:I84" si="11">AC79</f>
        <v>0</v>
      </c>
      <c r="J79" s="7"/>
      <c r="K79" s="3"/>
      <c r="L79" s="3"/>
      <c r="M79" s="3"/>
      <c r="N79" s="15"/>
      <c r="O79" s="15"/>
      <c r="P79" s="15"/>
      <c r="Q79" s="15"/>
      <c r="R79" s="15"/>
      <c r="S79" s="15"/>
      <c r="T79" s="15"/>
      <c r="U79" s="15"/>
      <c r="V79" s="15"/>
      <c r="W79" s="15"/>
      <c r="X79" s="15"/>
      <c r="Y79" s="15"/>
      <c r="Z79" s="15"/>
      <c r="AA79" s="15"/>
      <c r="AB79" s="15">
        <f t="shared" si="9"/>
        <v>0</v>
      </c>
      <c r="AC79" s="15">
        <f t="shared" si="7"/>
        <v>0</v>
      </c>
    </row>
    <row r="80" spans="1:29" ht="15.4">
      <c r="A80" s="105"/>
      <c r="B80" s="53" t="s">
        <v>149</v>
      </c>
      <c r="C80" s="235"/>
      <c r="D80" s="238">
        <v>0.31292517006802723</v>
      </c>
      <c r="E80" s="239">
        <f t="shared" si="8"/>
        <v>328</v>
      </c>
      <c r="F80" s="239"/>
      <c r="G80" s="41">
        <f t="shared" si="5"/>
        <v>0</v>
      </c>
      <c r="H80" s="41">
        <f t="shared" si="6"/>
        <v>0</v>
      </c>
      <c r="I80" s="188">
        <f t="shared" si="11"/>
        <v>0</v>
      </c>
      <c r="J80" s="7"/>
      <c r="K80" s="3"/>
      <c r="L80" s="3"/>
      <c r="M80" s="3"/>
      <c r="N80" s="15"/>
      <c r="O80" s="15"/>
      <c r="P80" s="15"/>
      <c r="Q80" s="15"/>
      <c r="R80" s="15"/>
      <c r="S80" s="15"/>
      <c r="T80" s="15"/>
      <c r="U80" s="15"/>
      <c r="V80" s="15"/>
      <c r="W80" s="15"/>
      <c r="X80" s="15"/>
      <c r="Y80" s="15"/>
      <c r="Z80" s="15"/>
      <c r="AA80" s="15"/>
      <c r="AB80" s="15">
        <f t="shared" si="9"/>
        <v>0</v>
      </c>
      <c r="AC80" s="15">
        <f t="shared" si="7"/>
        <v>0</v>
      </c>
    </row>
    <row r="81" spans="1:29" ht="15.4">
      <c r="A81" s="105"/>
      <c r="B81" s="53" t="s">
        <v>150</v>
      </c>
      <c r="C81" s="235"/>
      <c r="D81" s="238">
        <v>0.54421768707482998</v>
      </c>
      <c r="E81" s="239">
        <f t="shared" si="8"/>
        <v>328</v>
      </c>
      <c r="F81" s="239"/>
      <c r="G81" s="41">
        <f t="shared" si="5"/>
        <v>0</v>
      </c>
      <c r="H81" s="41">
        <f t="shared" si="6"/>
        <v>0</v>
      </c>
      <c r="I81" s="188">
        <f t="shared" si="11"/>
        <v>0</v>
      </c>
      <c r="J81" s="7"/>
      <c r="K81" s="3"/>
      <c r="L81" s="3"/>
      <c r="M81" s="3"/>
      <c r="N81" s="15"/>
      <c r="O81" s="15"/>
      <c r="P81" s="15"/>
      <c r="Q81" s="15"/>
      <c r="R81" s="15"/>
      <c r="S81" s="15"/>
      <c r="T81" s="15"/>
      <c r="U81" s="15"/>
      <c r="V81" s="15"/>
      <c r="W81" s="15"/>
      <c r="X81" s="15"/>
      <c r="Y81" s="15"/>
      <c r="Z81" s="15"/>
      <c r="AA81" s="15"/>
      <c r="AB81" s="15">
        <f t="shared" si="9"/>
        <v>0</v>
      </c>
      <c r="AC81" s="15">
        <f t="shared" si="7"/>
        <v>0</v>
      </c>
    </row>
    <row r="82" spans="1:29" ht="15.4">
      <c r="A82" s="105"/>
      <c r="B82" s="53" t="s">
        <v>137</v>
      </c>
      <c r="C82" s="235">
        <v>4</v>
      </c>
      <c r="D82" s="238">
        <v>3.0839002267573697E-2</v>
      </c>
      <c r="E82" s="239">
        <f t="shared" si="8"/>
        <v>328</v>
      </c>
      <c r="F82" s="239">
        <v>57</v>
      </c>
      <c r="G82" s="41">
        <f t="shared" si="5"/>
        <v>228</v>
      </c>
      <c r="H82" s="41">
        <f t="shared" si="6"/>
        <v>5.7656598639455785</v>
      </c>
      <c r="I82" s="188">
        <f t="shared" si="11"/>
        <v>2306.2639455782314</v>
      </c>
      <c r="J82" s="7"/>
      <c r="K82" s="3"/>
      <c r="L82" s="3"/>
      <c r="M82" s="3"/>
      <c r="N82" s="15"/>
      <c r="O82" s="15"/>
      <c r="P82" s="15"/>
      <c r="Q82" s="15"/>
      <c r="R82" s="15"/>
      <c r="S82" s="15"/>
      <c r="T82" s="15"/>
      <c r="U82" s="15"/>
      <c r="V82" s="15"/>
      <c r="W82" s="15"/>
      <c r="X82" s="15"/>
      <c r="Y82" s="15"/>
      <c r="Z82" s="15"/>
      <c r="AA82" s="15"/>
      <c r="AB82" s="15">
        <f t="shared" si="9"/>
        <v>0</v>
      </c>
      <c r="AC82" s="15">
        <f t="shared" si="7"/>
        <v>2306.2639455782314</v>
      </c>
    </row>
    <row r="83" spans="1:29" ht="15.4">
      <c r="A83" s="105" t="s">
        <v>152</v>
      </c>
      <c r="B83" s="53" t="s">
        <v>146</v>
      </c>
      <c r="C83" s="235">
        <v>4.25</v>
      </c>
      <c r="D83" s="238">
        <v>7.7097505668934196E-2</v>
      </c>
      <c r="E83" s="239">
        <f t="shared" si="8"/>
        <v>328</v>
      </c>
      <c r="F83" s="239">
        <v>30</v>
      </c>
      <c r="G83" s="41">
        <f t="shared" si="5"/>
        <v>127.5</v>
      </c>
      <c r="H83" s="41">
        <f t="shared" si="6"/>
        <v>8.0605442176870721</v>
      </c>
      <c r="I83" s="188">
        <f t="shared" si="11"/>
        <v>3224.217687074829</v>
      </c>
      <c r="J83" s="1"/>
      <c r="K83" s="3"/>
      <c r="L83" s="3"/>
      <c r="M83" s="3"/>
      <c r="N83" s="15"/>
      <c r="O83" s="15"/>
      <c r="P83" s="15"/>
      <c r="Q83" s="15"/>
      <c r="R83" s="15"/>
      <c r="S83" s="15"/>
      <c r="T83" s="15"/>
      <c r="U83" s="15"/>
      <c r="V83" s="15"/>
      <c r="W83" s="15"/>
      <c r="X83" s="15"/>
      <c r="Y83" s="15"/>
      <c r="Z83" s="15"/>
      <c r="AA83" s="15"/>
      <c r="AB83" s="15">
        <f t="shared" si="9"/>
        <v>5.7656598639455785</v>
      </c>
      <c r="AC83" s="15">
        <f t="shared" si="7"/>
        <v>3224.217687074829</v>
      </c>
    </row>
    <row r="84" spans="1:29" ht="15.4">
      <c r="A84" s="105"/>
      <c r="B84" s="53" t="s">
        <v>147</v>
      </c>
      <c r="C84" s="235"/>
      <c r="D84" s="238">
        <v>9.2970521541950096E-2</v>
      </c>
      <c r="E84" s="239">
        <f t="shared" si="8"/>
        <v>328</v>
      </c>
      <c r="F84" s="239"/>
      <c r="G84" s="41">
        <f t="shared" si="5"/>
        <v>0</v>
      </c>
      <c r="H84" s="41">
        <f t="shared" si="6"/>
        <v>0</v>
      </c>
      <c r="I84" s="188">
        <f t="shared" si="11"/>
        <v>0</v>
      </c>
      <c r="J84" s="5"/>
      <c r="K84" s="3"/>
      <c r="L84" s="3"/>
      <c r="M84" s="3"/>
      <c r="N84" s="15"/>
      <c r="O84" s="15"/>
      <c r="P84" s="15"/>
      <c r="Q84" s="15"/>
      <c r="R84" s="15"/>
      <c r="S84" s="15"/>
      <c r="T84" s="15"/>
      <c r="U84" s="15"/>
      <c r="V84" s="15"/>
      <c r="W84" s="15"/>
      <c r="X84" s="15"/>
      <c r="Y84" s="15"/>
      <c r="Z84" s="15"/>
      <c r="AA84" s="15"/>
      <c r="AB84" s="15">
        <f t="shared" si="9"/>
        <v>8.0605442176870721</v>
      </c>
      <c r="AC84" s="15">
        <f t="shared" si="7"/>
        <v>0</v>
      </c>
    </row>
    <row r="85" spans="1:29" ht="15.4">
      <c r="A85" s="105"/>
      <c r="B85" s="53" t="s">
        <v>148</v>
      </c>
      <c r="C85" s="235">
        <v>1</v>
      </c>
      <c r="D85" s="238">
        <v>0.12244897959183673</v>
      </c>
      <c r="E85" s="239">
        <f t="shared" si="8"/>
        <v>328</v>
      </c>
      <c r="F85" s="239">
        <v>45</v>
      </c>
      <c r="G85" s="41">
        <f t="shared" si="5"/>
        <v>45</v>
      </c>
      <c r="H85" s="41">
        <f t="shared" si="6"/>
        <v>4.5183673469387751</v>
      </c>
      <c r="I85" s="188">
        <f>AC85</f>
        <v>1807.3469387755101</v>
      </c>
      <c r="J85" s="5"/>
      <c r="K85" s="3"/>
      <c r="L85" s="3"/>
      <c r="M85" s="3"/>
      <c r="N85" s="15"/>
      <c r="O85" s="15"/>
      <c r="P85" s="15"/>
      <c r="Q85" s="15"/>
      <c r="R85" s="15"/>
      <c r="S85" s="15"/>
      <c r="T85" s="15"/>
      <c r="U85" s="15"/>
      <c r="V85" s="15"/>
      <c r="W85" s="15"/>
      <c r="X85" s="15"/>
      <c r="Y85" s="15"/>
      <c r="Z85" s="15"/>
      <c r="AA85" s="15"/>
      <c r="AB85" s="15">
        <f t="shared" si="9"/>
        <v>0</v>
      </c>
      <c r="AC85" s="15">
        <f t="shared" si="7"/>
        <v>1807.3469387755101</v>
      </c>
    </row>
    <row r="86" spans="1:29" ht="15.4">
      <c r="A86" s="105"/>
      <c r="B86" s="53" t="s">
        <v>149</v>
      </c>
      <c r="C86" s="235"/>
      <c r="D86" s="238">
        <v>0.31292517006802723</v>
      </c>
      <c r="E86" s="239">
        <f t="shared" si="8"/>
        <v>328</v>
      </c>
      <c r="F86" s="239"/>
      <c r="G86" s="41">
        <f t="shared" si="5"/>
        <v>0</v>
      </c>
      <c r="H86" s="41">
        <f t="shared" si="6"/>
        <v>0</v>
      </c>
      <c r="I86" s="188">
        <f t="shared" ref="I86:I90" si="12">AC86</f>
        <v>0</v>
      </c>
      <c r="J86" s="5"/>
      <c r="K86" s="3"/>
      <c r="L86" s="3"/>
      <c r="M86" s="3"/>
      <c r="N86" s="15"/>
      <c r="O86" s="15"/>
      <c r="P86" s="15"/>
      <c r="Q86" s="15"/>
      <c r="R86" s="15"/>
      <c r="S86" s="15"/>
      <c r="T86" s="15"/>
      <c r="U86" s="15"/>
      <c r="V86" s="15"/>
      <c r="W86" s="15"/>
      <c r="X86" s="15"/>
      <c r="Y86" s="15"/>
      <c r="Z86" s="15"/>
      <c r="AA86" s="15"/>
      <c r="AB86" s="15">
        <f t="shared" si="9"/>
        <v>4.5183673469387751</v>
      </c>
      <c r="AC86" s="15">
        <f t="shared" si="7"/>
        <v>0</v>
      </c>
    </row>
    <row r="87" spans="1:29" ht="15.4">
      <c r="A87" s="105"/>
      <c r="B87" s="53" t="s">
        <v>150</v>
      </c>
      <c r="C87" s="235"/>
      <c r="D87" s="238">
        <v>0.54421768707482998</v>
      </c>
      <c r="E87" s="239">
        <f t="shared" si="8"/>
        <v>328</v>
      </c>
      <c r="F87" s="239"/>
      <c r="G87" s="41">
        <f t="shared" si="5"/>
        <v>0</v>
      </c>
      <c r="H87" s="41">
        <f t="shared" si="6"/>
        <v>0</v>
      </c>
      <c r="I87" s="188">
        <f t="shared" si="12"/>
        <v>0</v>
      </c>
      <c r="J87" s="5"/>
      <c r="K87" s="3"/>
      <c r="L87" s="3"/>
      <c r="M87" s="3"/>
      <c r="N87" s="15"/>
      <c r="O87" s="15"/>
      <c r="P87" s="15"/>
      <c r="Q87" s="15"/>
      <c r="R87" s="15"/>
      <c r="S87" s="15"/>
      <c r="T87" s="15"/>
      <c r="U87" s="15"/>
      <c r="V87" s="15"/>
      <c r="W87" s="15"/>
      <c r="X87" s="15"/>
      <c r="Y87" s="15"/>
      <c r="Z87" s="15"/>
      <c r="AA87" s="15"/>
      <c r="AB87" s="15">
        <f t="shared" si="9"/>
        <v>0</v>
      </c>
      <c r="AC87" s="15">
        <f t="shared" si="7"/>
        <v>0</v>
      </c>
    </row>
    <row r="88" spans="1:29" ht="15.4">
      <c r="A88" s="105"/>
      <c r="B88" s="53" t="s">
        <v>137</v>
      </c>
      <c r="C88" s="235">
        <v>4.25</v>
      </c>
      <c r="D88" s="238">
        <v>3.0839002267573697E-2</v>
      </c>
      <c r="E88" s="239">
        <f t="shared" si="8"/>
        <v>328</v>
      </c>
      <c r="F88" s="239">
        <v>15</v>
      </c>
      <c r="G88" s="41">
        <f t="shared" si="5"/>
        <v>63.75</v>
      </c>
      <c r="H88" s="41">
        <f t="shared" si="6"/>
        <v>1.6121088435374153</v>
      </c>
      <c r="I88" s="188">
        <f t="shared" si="12"/>
        <v>644.84353741496614</v>
      </c>
      <c r="J88" s="5"/>
      <c r="K88" s="3"/>
      <c r="L88" s="3"/>
      <c r="M88" s="3"/>
      <c r="N88" s="15"/>
      <c r="O88" s="15"/>
      <c r="P88" s="15"/>
      <c r="Q88" s="15"/>
      <c r="R88" s="15"/>
      <c r="S88" s="15"/>
      <c r="T88" s="15"/>
      <c r="U88" s="15"/>
      <c r="V88" s="15"/>
      <c r="W88" s="15"/>
      <c r="X88" s="15"/>
      <c r="Y88" s="15"/>
      <c r="Z88" s="15"/>
      <c r="AA88" s="15"/>
      <c r="AB88" s="15">
        <f t="shared" si="9"/>
        <v>0</v>
      </c>
      <c r="AC88" s="15">
        <f t="shared" si="7"/>
        <v>644.84353741496614</v>
      </c>
    </row>
    <row r="89" spans="1:29" ht="15.4">
      <c r="A89" s="105" t="s">
        <v>153</v>
      </c>
      <c r="B89" s="53" t="s">
        <v>146</v>
      </c>
      <c r="C89" s="235"/>
      <c r="D89" s="238">
        <v>7.7097505668934196E-2</v>
      </c>
      <c r="E89" s="239">
        <f t="shared" si="8"/>
        <v>328</v>
      </c>
      <c r="F89" s="239"/>
      <c r="G89" s="41">
        <f t="shared" si="5"/>
        <v>0</v>
      </c>
      <c r="H89" s="41">
        <f t="shared" si="6"/>
        <v>0</v>
      </c>
      <c r="I89" s="188">
        <f t="shared" si="12"/>
        <v>0</v>
      </c>
      <c r="J89" s="1"/>
      <c r="K89" s="3"/>
      <c r="L89" s="3"/>
      <c r="M89" s="3"/>
      <c r="N89" s="15"/>
      <c r="O89" s="15"/>
      <c r="P89" s="15"/>
      <c r="Q89" s="15"/>
      <c r="R89" s="15"/>
      <c r="S89" s="15"/>
      <c r="T89" s="15"/>
      <c r="U89" s="15"/>
      <c r="V89" s="15"/>
      <c r="W89" s="15"/>
      <c r="X89" s="15"/>
      <c r="Y89" s="15"/>
      <c r="Z89" s="15"/>
      <c r="AA89" s="15"/>
      <c r="AB89" s="15">
        <f t="shared" si="9"/>
        <v>1.6121088435374153</v>
      </c>
      <c r="AC89" s="15">
        <f t="shared" si="7"/>
        <v>0</v>
      </c>
    </row>
    <row r="90" spans="1:29" ht="15.4">
      <c r="A90" s="105"/>
      <c r="B90" s="53" t="s">
        <v>147</v>
      </c>
      <c r="C90" s="235">
        <v>4.7</v>
      </c>
      <c r="D90" s="238">
        <v>9.2970521541950096E-2</v>
      </c>
      <c r="E90" s="239">
        <f t="shared" si="8"/>
        <v>328</v>
      </c>
      <c r="F90" s="239">
        <v>105</v>
      </c>
      <c r="G90" s="41">
        <f t="shared" si="5"/>
        <v>493.5</v>
      </c>
      <c r="H90" s="41">
        <f t="shared" si="6"/>
        <v>37.622380952380944</v>
      </c>
      <c r="I90" s="188">
        <f t="shared" si="12"/>
        <v>15048.952380952378</v>
      </c>
      <c r="J90" s="1"/>
      <c r="K90" s="3"/>
      <c r="L90" s="3"/>
      <c r="M90" s="3"/>
      <c r="N90" s="15"/>
      <c r="O90" s="15"/>
      <c r="P90" s="15"/>
      <c r="Q90" s="15"/>
      <c r="R90" s="15"/>
      <c r="S90" s="15"/>
      <c r="T90" s="15"/>
      <c r="U90" s="15"/>
      <c r="V90" s="15"/>
      <c r="W90" s="15"/>
      <c r="X90" s="15"/>
      <c r="Y90" s="15"/>
      <c r="Z90" s="15"/>
      <c r="AA90" s="15"/>
      <c r="AB90" s="15">
        <f t="shared" si="9"/>
        <v>0</v>
      </c>
      <c r="AC90" s="15">
        <f t="shared" si="7"/>
        <v>15048.952380952378</v>
      </c>
    </row>
    <row r="91" spans="1:29" ht="15.4">
      <c r="A91" s="105"/>
      <c r="B91" s="53" t="s">
        <v>148</v>
      </c>
      <c r="C91" s="235">
        <v>2.2999999999999998</v>
      </c>
      <c r="D91" s="238">
        <v>0.12244897959183673</v>
      </c>
      <c r="E91" s="239">
        <f t="shared" si="8"/>
        <v>328</v>
      </c>
      <c r="F91" s="239">
        <v>105</v>
      </c>
      <c r="G91" s="41">
        <f t="shared" si="5"/>
        <v>241.49999999999997</v>
      </c>
      <c r="H91" s="41">
        <f t="shared" si="6"/>
        <v>24.248571428571431</v>
      </c>
      <c r="I91" s="188">
        <f>AC91</f>
        <v>9699.4285714285725</v>
      </c>
      <c r="J91" s="1"/>
      <c r="K91" s="3"/>
      <c r="L91" s="3"/>
      <c r="M91" s="3"/>
      <c r="N91" s="15"/>
      <c r="O91" s="15"/>
      <c r="P91" s="15"/>
      <c r="Q91" s="15"/>
      <c r="R91" s="15"/>
      <c r="S91" s="15"/>
      <c r="T91" s="15"/>
      <c r="U91" s="15"/>
      <c r="V91" s="15"/>
      <c r="W91" s="15"/>
      <c r="X91" s="15"/>
      <c r="Y91" s="15"/>
      <c r="Z91" s="15"/>
      <c r="AA91" s="15"/>
      <c r="AB91" s="15">
        <f t="shared" si="9"/>
        <v>37.622380952380944</v>
      </c>
      <c r="AC91" s="15">
        <f t="shared" si="7"/>
        <v>9699.4285714285725</v>
      </c>
    </row>
    <row r="92" spans="1:29" ht="15.4">
      <c r="A92" s="105"/>
      <c r="B92" s="53" t="s">
        <v>149</v>
      </c>
      <c r="C92" s="235"/>
      <c r="D92" s="238">
        <v>0.31292517006802723</v>
      </c>
      <c r="E92" s="239">
        <f t="shared" si="8"/>
        <v>328</v>
      </c>
      <c r="F92" s="239"/>
      <c r="G92" s="41">
        <f t="shared" si="5"/>
        <v>0</v>
      </c>
      <c r="H92" s="41">
        <f t="shared" si="6"/>
        <v>0</v>
      </c>
      <c r="I92" s="188">
        <f t="shared" ref="I92:I95" si="13">AC92</f>
        <v>0</v>
      </c>
      <c r="J92" s="1"/>
      <c r="K92" s="3"/>
      <c r="L92" s="3"/>
      <c r="M92" s="3"/>
      <c r="N92" s="15"/>
      <c r="O92" s="15"/>
      <c r="P92" s="15"/>
      <c r="Q92" s="15"/>
      <c r="R92" s="15"/>
      <c r="S92" s="15"/>
      <c r="T92" s="15"/>
      <c r="U92" s="15"/>
      <c r="V92" s="15"/>
      <c r="W92" s="15"/>
      <c r="X92" s="15"/>
      <c r="Y92" s="15"/>
      <c r="Z92" s="15"/>
      <c r="AA92" s="15"/>
      <c r="AB92" s="15">
        <f t="shared" si="9"/>
        <v>24.248571428571431</v>
      </c>
      <c r="AC92" s="15">
        <f t="shared" si="7"/>
        <v>0</v>
      </c>
    </row>
    <row r="93" spans="1:29" ht="15.4">
      <c r="A93" s="105"/>
      <c r="B93" s="53" t="s">
        <v>150</v>
      </c>
      <c r="C93" s="219"/>
      <c r="D93" s="109">
        <v>0.54421768707482998</v>
      </c>
      <c r="E93" s="239">
        <f t="shared" si="8"/>
        <v>328</v>
      </c>
      <c r="F93" s="217"/>
      <c r="G93" s="41">
        <f t="shared" si="5"/>
        <v>0</v>
      </c>
      <c r="H93" s="41">
        <f t="shared" si="6"/>
        <v>0</v>
      </c>
      <c r="I93" s="188">
        <f t="shared" si="13"/>
        <v>0</v>
      </c>
      <c r="J93" s="1"/>
      <c r="K93" s="3"/>
      <c r="L93" s="3"/>
      <c r="M93" s="3"/>
      <c r="N93" s="15"/>
      <c r="O93" s="15"/>
      <c r="P93" s="15"/>
      <c r="Q93" s="15"/>
      <c r="R93" s="15"/>
      <c r="S93" s="15"/>
      <c r="T93" s="15"/>
      <c r="U93" s="15"/>
      <c r="V93" s="15"/>
      <c r="W93" s="15"/>
      <c r="X93" s="15"/>
      <c r="Y93" s="15"/>
      <c r="Z93" s="15"/>
      <c r="AA93" s="15"/>
      <c r="AB93" s="15">
        <f t="shared" si="9"/>
        <v>0</v>
      </c>
      <c r="AC93" s="15">
        <f t="shared" si="7"/>
        <v>0</v>
      </c>
    </row>
    <row r="94" spans="1:29" ht="15.4">
      <c r="A94" s="105"/>
      <c r="B94" s="53" t="s">
        <v>137</v>
      </c>
      <c r="C94" s="219"/>
      <c r="D94" s="109">
        <v>3.0839002267573697E-2</v>
      </c>
      <c r="E94" s="239">
        <f t="shared" si="8"/>
        <v>328</v>
      </c>
      <c r="F94" s="217"/>
      <c r="G94" s="41">
        <f t="shared" si="5"/>
        <v>0</v>
      </c>
      <c r="H94" s="41">
        <f t="shared" si="6"/>
        <v>0</v>
      </c>
      <c r="I94" s="188">
        <f t="shared" si="13"/>
        <v>0</v>
      </c>
      <c r="J94" s="1"/>
      <c r="K94" s="3"/>
      <c r="L94" s="3"/>
      <c r="M94" s="3"/>
      <c r="N94" s="15"/>
      <c r="O94" s="15"/>
      <c r="P94" s="15"/>
      <c r="Q94" s="15"/>
      <c r="R94" s="15"/>
      <c r="S94" s="15"/>
      <c r="T94" s="15"/>
      <c r="U94" s="15"/>
      <c r="V94" s="15"/>
      <c r="W94" s="15"/>
      <c r="X94" s="15"/>
      <c r="Y94" s="15"/>
      <c r="Z94" s="15"/>
      <c r="AA94" s="15"/>
      <c r="AB94" s="15">
        <f t="shared" si="9"/>
        <v>0</v>
      </c>
      <c r="AC94" s="15">
        <f t="shared" si="7"/>
        <v>0</v>
      </c>
    </row>
    <row r="95" spans="1:29" ht="15.4">
      <c r="A95" s="105" t="s">
        <v>154</v>
      </c>
      <c r="B95" s="53" t="s">
        <v>146</v>
      </c>
      <c r="C95" s="235">
        <v>4</v>
      </c>
      <c r="D95" s="238">
        <v>7.7097505668934196E-2</v>
      </c>
      <c r="E95" s="239">
        <f t="shared" si="8"/>
        <v>328</v>
      </c>
      <c r="F95" s="239">
        <v>16</v>
      </c>
      <c r="G95" s="41">
        <f t="shared" si="5"/>
        <v>64</v>
      </c>
      <c r="H95" s="41">
        <f t="shared" si="6"/>
        <v>4.0460770975056661</v>
      </c>
      <c r="I95" s="188">
        <f t="shared" si="13"/>
        <v>1618.4308390022666</v>
      </c>
      <c r="J95" s="1"/>
      <c r="K95" s="3"/>
      <c r="L95" s="3"/>
      <c r="M95" s="3"/>
      <c r="N95" s="15"/>
      <c r="O95" s="15"/>
      <c r="P95" s="15"/>
      <c r="Q95" s="15"/>
      <c r="R95" s="15"/>
      <c r="S95" s="15"/>
      <c r="T95" s="15"/>
      <c r="U95" s="15"/>
      <c r="V95" s="15"/>
      <c r="W95" s="15"/>
      <c r="X95" s="15"/>
      <c r="Y95" s="15"/>
      <c r="Z95" s="15"/>
      <c r="AA95" s="15"/>
      <c r="AB95" s="15">
        <f t="shared" si="9"/>
        <v>0</v>
      </c>
      <c r="AC95" s="15">
        <f t="shared" si="7"/>
        <v>1618.4308390022666</v>
      </c>
    </row>
    <row r="96" spans="1:29" ht="15.4">
      <c r="A96" s="105"/>
      <c r="B96" s="53" t="s">
        <v>147</v>
      </c>
      <c r="C96" s="235"/>
      <c r="D96" s="238">
        <v>9.2970521541950096E-2</v>
      </c>
      <c r="E96" s="239">
        <f t="shared" si="8"/>
        <v>328</v>
      </c>
      <c r="F96" s="239"/>
      <c r="G96" s="41">
        <f t="shared" si="5"/>
        <v>0</v>
      </c>
      <c r="H96" s="41">
        <f t="shared" si="6"/>
        <v>0</v>
      </c>
      <c r="I96" s="188">
        <f>AC96</f>
        <v>0</v>
      </c>
      <c r="J96" s="1"/>
      <c r="K96" s="3"/>
      <c r="L96" s="3"/>
      <c r="M96" s="3"/>
      <c r="N96" s="15"/>
      <c r="O96" s="15"/>
      <c r="P96" s="15"/>
      <c r="Q96" s="15"/>
      <c r="R96" s="15"/>
      <c r="S96" s="15"/>
      <c r="T96" s="15"/>
      <c r="U96" s="15"/>
      <c r="V96" s="15"/>
      <c r="W96" s="15"/>
      <c r="X96" s="15"/>
      <c r="Y96" s="15"/>
      <c r="Z96" s="15"/>
      <c r="AA96" s="15"/>
      <c r="AB96" s="15">
        <f t="shared" si="9"/>
        <v>4.0460770975056661</v>
      </c>
      <c r="AC96" s="15">
        <f t="shared" si="7"/>
        <v>0</v>
      </c>
    </row>
    <row r="97" spans="1:29" ht="15.4">
      <c r="A97" s="105"/>
      <c r="B97" s="53" t="s">
        <v>148</v>
      </c>
      <c r="C97" s="235"/>
      <c r="D97" s="238">
        <v>0.12244897959183673</v>
      </c>
      <c r="E97" s="239">
        <f t="shared" si="8"/>
        <v>328</v>
      </c>
      <c r="F97" s="239"/>
      <c r="G97" s="41">
        <f t="shared" si="5"/>
        <v>0</v>
      </c>
      <c r="H97" s="41">
        <f t="shared" si="6"/>
        <v>0</v>
      </c>
      <c r="I97" s="188">
        <f t="shared" ref="I97:I103" si="14">AC97</f>
        <v>0</v>
      </c>
      <c r="J97" s="1"/>
      <c r="K97" s="3"/>
      <c r="L97" s="3"/>
      <c r="M97" s="3"/>
      <c r="N97" s="15"/>
      <c r="O97" s="15"/>
      <c r="P97" s="15"/>
      <c r="Q97" s="15"/>
      <c r="R97" s="15"/>
      <c r="S97" s="15"/>
      <c r="T97" s="15"/>
      <c r="U97" s="15"/>
      <c r="V97" s="15"/>
      <c r="W97" s="15"/>
      <c r="X97" s="15"/>
      <c r="Y97" s="15"/>
      <c r="Z97" s="15"/>
      <c r="AA97" s="15"/>
      <c r="AB97" s="15">
        <f t="shared" si="9"/>
        <v>0</v>
      </c>
      <c r="AC97" s="15">
        <f t="shared" si="7"/>
        <v>0</v>
      </c>
    </row>
    <row r="98" spans="1:29" ht="15.4">
      <c r="A98" s="105"/>
      <c r="B98" s="53" t="s">
        <v>149</v>
      </c>
      <c r="C98" s="235"/>
      <c r="D98" s="238">
        <v>0.31292517006802723</v>
      </c>
      <c r="E98" s="239">
        <f t="shared" si="8"/>
        <v>328</v>
      </c>
      <c r="F98" s="239"/>
      <c r="G98" s="41">
        <f t="shared" si="5"/>
        <v>0</v>
      </c>
      <c r="H98" s="41">
        <f t="shared" si="6"/>
        <v>0</v>
      </c>
      <c r="I98" s="188">
        <f t="shared" si="14"/>
        <v>0</v>
      </c>
      <c r="J98" s="1"/>
      <c r="K98" s="3"/>
      <c r="L98" s="3"/>
      <c r="M98" s="3"/>
      <c r="N98" s="15"/>
      <c r="O98" s="15"/>
      <c r="P98" s="15"/>
      <c r="Q98" s="15"/>
      <c r="R98" s="15"/>
      <c r="S98" s="15"/>
      <c r="T98" s="15"/>
      <c r="U98" s="15"/>
      <c r="V98" s="15"/>
      <c r="W98" s="15"/>
      <c r="X98" s="15"/>
      <c r="Y98" s="15"/>
      <c r="Z98" s="15"/>
      <c r="AA98" s="15"/>
      <c r="AB98" s="15">
        <f t="shared" si="9"/>
        <v>0</v>
      </c>
      <c r="AC98" s="15">
        <f t="shared" si="7"/>
        <v>0</v>
      </c>
    </row>
    <row r="99" spans="1:29" ht="15.4">
      <c r="A99" s="105"/>
      <c r="B99" s="53" t="s">
        <v>150</v>
      </c>
      <c r="C99" s="235"/>
      <c r="D99" s="238">
        <v>0.54421768707482998</v>
      </c>
      <c r="E99" s="239">
        <f t="shared" si="8"/>
        <v>328</v>
      </c>
      <c r="F99" s="239"/>
      <c r="G99" s="41">
        <f t="shared" si="5"/>
        <v>0</v>
      </c>
      <c r="H99" s="41">
        <f t="shared" si="6"/>
        <v>0</v>
      </c>
      <c r="I99" s="188">
        <f t="shared" si="14"/>
        <v>0</v>
      </c>
      <c r="J99" s="1"/>
      <c r="K99" s="3"/>
      <c r="L99" s="3"/>
      <c r="M99" s="3"/>
      <c r="N99" s="15"/>
      <c r="O99" s="15"/>
      <c r="P99" s="15"/>
      <c r="Q99" s="15"/>
      <c r="R99" s="15"/>
      <c r="S99" s="15"/>
      <c r="T99" s="15"/>
      <c r="U99" s="15"/>
      <c r="V99" s="15"/>
      <c r="W99" s="15"/>
      <c r="X99" s="15"/>
      <c r="Y99" s="15"/>
      <c r="Z99" s="15"/>
      <c r="AA99" s="15"/>
      <c r="AB99" s="15">
        <f t="shared" si="9"/>
        <v>0</v>
      </c>
      <c r="AC99" s="15">
        <f t="shared" si="7"/>
        <v>0</v>
      </c>
    </row>
    <row r="100" spans="1:29" ht="15.4">
      <c r="A100" s="105"/>
      <c r="B100" s="53" t="s">
        <v>137</v>
      </c>
      <c r="C100" s="235">
        <v>4</v>
      </c>
      <c r="D100" s="238">
        <v>3.0839002267573697E-2</v>
      </c>
      <c r="E100" s="239">
        <f t="shared" si="8"/>
        <v>328</v>
      </c>
      <c r="F100" s="239">
        <v>8</v>
      </c>
      <c r="G100" s="41">
        <f t="shared" si="5"/>
        <v>32</v>
      </c>
      <c r="H100" s="41">
        <f t="shared" si="6"/>
        <v>0.80921541950113385</v>
      </c>
      <c r="I100" s="188">
        <f t="shared" si="14"/>
        <v>323.68616780045352</v>
      </c>
      <c r="J100" s="1"/>
      <c r="K100" s="3"/>
      <c r="L100" s="3"/>
      <c r="M100" s="3"/>
      <c r="N100" s="15"/>
      <c r="O100" s="15"/>
      <c r="P100" s="15"/>
      <c r="Q100" s="15"/>
      <c r="R100" s="15"/>
      <c r="S100" s="15"/>
      <c r="T100" s="15"/>
      <c r="U100" s="15"/>
      <c r="V100" s="15"/>
      <c r="W100" s="15"/>
      <c r="X100" s="15"/>
      <c r="Y100" s="15"/>
      <c r="Z100" s="15"/>
      <c r="AA100" s="15"/>
      <c r="AB100" s="15">
        <f t="shared" si="9"/>
        <v>0</v>
      </c>
      <c r="AC100" s="15">
        <f t="shared" si="7"/>
        <v>323.68616780045352</v>
      </c>
    </row>
    <row r="101" spans="1:29" ht="15.4">
      <c r="A101" s="105" t="s">
        <v>135</v>
      </c>
      <c r="B101" s="53" t="s">
        <v>155</v>
      </c>
      <c r="C101" s="235">
        <v>0.5</v>
      </c>
      <c r="D101" s="238">
        <v>9.0702947845805001E-2</v>
      </c>
      <c r="E101" s="239">
        <f t="shared" si="8"/>
        <v>328</v>
      </c>
      <c r="F101" s="239">
        <v>160</v>
      </c>
      <c r="G101" s="41">
        <f>F101*C101</f>
        <v>80</v>
      </c>
      <c r="H101" s="41">
        <f t="shared" si="6"/>
        <v>5.9501133786848079</v>
      </c>
      <c r="I101" s="188">
        <f t="shared" si="14"/>
        <v>2380.0453514739233</v>
      </c>
      <c r="J101" s="1"/>
      <c r="K101" s="3"/>
      <c r="L101" s="3"/>
      <c r="M101" s="3"/>
      <c r="N101" s="15"/>
      <c r="O101" s="15"/>
      <c r="P101" s="15"/>
      <c r="Q101" s="15"/>
      <c r="R101" s="15"/>
      <c r="S101" s="15"/>
      <c r="T101" s="15"/>
      <c r="U101" s="15"/>
      <c r="V101" s="15"/>
      <c r="W101" s="15"/>
      <c r="X101" s="15"/>
      <c r="Y101" s="15"/>
      <c r="Z101" s="15"/>
      <c r="AA101" s="15"/>
      <c r="AB101" s="15">
        <f t="shared" si="9"/>
        <v>0.80921541950113385</v>
      </c>
      <c r="AC101" s="15">
        <f t="shared" si="7"/>
        <v>2380.0453514739233</v>
      </c>
    </row>
    <row r="102" spans="1:29" ht="15.4">
      <c r="A102" s="105" t="s">
        <v>138</v>
      </c>
      <c r="B102" s="53"/>
      <c r="C102" s="235">
        <v>3.3000000000000002E-2</v>
      </c>
      <c r="D102" s="238">
        <v>0.72599999999999998</v>
      </c>
      <c r="E102" s="239">
        <f t="shared" si="8"/>
        <v>328</v>
      </c>
      <c r="F102" s="239">
        <v>365</v>
      </c>
      <c r="G102" s="41">
        <f t="shared" si="5"/>
        <v>12.045</v>
      </c>
      <c r="H102" s="41">
        <f t="shared" si="6"/>
        <v>7.1706294000000002</v>
      </c>
      <c r="I102" s="188">
        <f t="shared" si="14"/>
        <v>2868.2517600000001</v>
      </c>
      <c r="J102" s="1"/>
      <c r="K102" s="3"/>
      <c r="L102" s="3"/>
      <c r="M102" s="3"/>
      <c r="N102" s="15"/>
      <c r="O102" s="15"/>
      <c r="P102" s="15"/>
      <c r="Q102" s="15"/>
      <c r="R102" s="15"/>
      <c r="S102" s="15"/>
      <c r="T102" s="15"/>
      <c r="U102" s="15"/>
      <c r="V102" s="15"/>
      <c r="W102" s="15"/>
      <c r="X102" s="15"/>
      <c r="Y102" s="15"/>
      <c r="Z102" s="15"/>
      <c r="AA102" s="15"/>
      <c r="AB102" s="15">
        <f t="shared" si="9"/>
        <v>5.9501133786848079</v>
      </c>
      <c r="AC102" s="15">
        <f t="shared" si="7"/>
        <v>2868.2517600000001</v>
      </c>
    </row>
    <row r="103" spans="1:29" ht="15.4">
      <c r="A103" s="105" t="s">
        <v>139</v>
      </c>
      <c r="B103" s="53"/>
      <c r="C103" s="238">
        <v>2.1999999999999999E-2</v>
      </c>
      <c r="D103" s="238">
        <v>0.22700000000000001</v>
      </c>
      <c r="E103" s="239">
        <f t="shared" si="8"/>
        <v>328</v>
      </c>
      <c r="F103" s="239">
        <v>365</v>
      </c>
      <c r="G103" s="41">
        <f t="shared" si="5"/>
        <v>8.0299999999999994</v>
      </c>
      <c r="H103" s="41">
        <f t="shared" si="6"/>
        <v>1.4947042000000001</v>
      </c>
      <c r="I103" s="188">
        <f t="shared" si="14"/>
        <v>597.88168000000007</v>
      </c>
      <c r="J103" s="1"/>
      <c r="K103" s="3"/>
      <c r="L103" s="3"/>
      <c r="M103" s="3"/>
      <c r="N103" s="15"/>
      <c r="O103" s="15"/>
      <c r="P103" s="15"/>
      <c r="Q103" s="15"/>
      <c r="R103" s="15"/>
      <c r="S103" s="15"/>
      <c r="T103" s="15"/>
      <c r="U103" s="15"/>
      <c r="V103" s="15"/>
      <c r="W103" s="15"/>
      <c r="X103" s="15"/>
      <c r="Y103" s="15"/>
      <c r="Z103" s="15"/>
      <c r="AA103" s="15"/>
      <c r="AB103" s="15">
        <f t="shared" si="9"/>
        <v>7.1706294000000002</v>
      </c>
      <c r="AC103" s="15">
        <f t="shared" si="7"/>
        <v>597.88168000000007</v>
      </c>
    </row>
    <row r="104" spans="1:29" ht="15.4">
      <c r="A104" s="34"/>
      <c r="B104" s="23"/>
      <c r="C104" s="32"/>
      <c r="D104" s="32"/>
      <c r="E104" s="23"/>
      <c r="F104" s="23"/>
      <c r="G104" s="41"/>
      <c r="H104" s="41"/>
      <c r="I104" s="188"/>
      <c r="J104" s="5"/>
      <c r="K104" s="3"/>
      <c r="L104" s="3"/>
      <c r="M104" s="3"/>
      <c r="N104" s="15"/>
      <c r="O104" s="15"/>
      <c r="P104" s="15"/>
      <c r="Q104" s="15"/>
      <c r="R104" s="15"/>
      <c r="S104" s="15"/>
      <c r="T104" s="15"/>
      <c r="U104" s="15"/>
      <c r="V104" s="15"/>
      <c r="W104" s="15"/>
      <c r="X104" s="15"/>
      <c r="Y104" s="15"/>
      <c r="Z104" s="15"/>
      <c r="AA104" s="15"/>
      <c r="AB104" s="15">
        <f t="shared" si="9"/>
        <v>1.4947042000000001</v>
      </c>
      <c r="AC104" s="2">
        <f t="shared" si="7"/>
        <v>0</v>
      </c>
    </row>
    <row r="105" spans="1:29" ht="30.95">
      <c r="A105" s="26" t="s">
        <v>156</v>
      </c>
      <c r="B105" s="23"/>
      <c r="C105" s="108" t="s">
        <v>125</v>
      </c>
      <c r="D105" s="36" t="s">
        <v>126</v>
      </c>
      <c r="E105" s="36" t="s">
        <v>127</v>
      </c>
      <c r="F105" s="36" t="s">
        <v>128</v>
      </c>
      <c r="G105" s="36" t="s">
        <v>129</v>
      </c>
      <c r="H105" s="41"/>
      <c r="I105" s="188"/>
      <c r="J105" s="5"/>
      <c r="K105" s="3"/>
      <c r="L105" s="3"/>
      <c r="M105" s="3"/>
      <c r="N105" s="15"/>
      <c r="O105" s="15"/>
      <c r="P105" s="15"/>
      <c r="Q105" s="15"/>
      <c r="R105" s="15"/>
      <c r="S105" s="15"/>
      <c r="T105" s="15"/>
      <c r="U105" s="15"/>
      <c r="V105" s="15"/>
      <c r="W105" s="15"/>
      <c r="X105" s="15"/>
      <c r="Y105" s="15"/>
      <c r="Z105" s="15"/>
      <c r="AA105" s="15"/>
    </row>
    <row r="106" spans="1:29" ht="15.4">
      <c r="A106" s="105" t="s">
        <v>145</v>
      </c>
      <c r="B106" s="53" t="s">
        <v>146</v>
      </c>
      <c r="C106" s="235">
        <v>3.3</v>
      </c>
      <c r="D106" s="238">
        <v>7.7097505668934196E-2</v>
      </c>
      <c r="E106" s="239">
        <f>$E$10</f>
        <v>72</v>
      </c>
      <c r="F106" s="239">
        <v>45</v>
      </c>
      <c r="G106" s="41">
        <f>F106*C106</f>
        <v>148.5</v>
      </c>
      <c r="H106" s="41">
        <f t="shared" ref="H106:H138" si="15">AB107</f>
        <v>2.060816326530611</v>
      </c>
      <c r="I106" s="188">
        <f t="shared" ref="I106:I108" si="16">AC106</f>
        <v>824.32653061224437</v>
      </c>
      <c r="J106" s="5"/>
      <c r="K106" s="3"/>
      <c r="L106" s="3"/>
      <c r="M106" s="3"/>
      <c r="N106" s="15"/>
      <c r="O106" s="15"/>
      <c r="P106" s="15"/>
      <c r="Q106" s="15"/>
      <c r="R106" s="15"/>
      <c r="S106" s="15"/>
      <c r="T106" s="15"/>
      <c r="U106" s="15"/>
      <c r="V106" s="15"/>
      <c r="W106" s="15"/>
      <c r="X106" s="15"/>
      <c r="Y106" s="15"/>
      <c r="Z106" s="15"/>
      <c r="AA106" s="15"/>
      <c r="AC106" s="15">
        <f t="shared" ref="AC106:AC139" si="17">H106*$E$5</f>
        <v>824.32653061224437</v>
      </c>
    </row>
    <row r="107" spans="1:29" ht="15.4">
      <c r="A107" s="105"/>
      <c r="B107" s="53" t="s">
        <v>147</v>
      </c>
      <c r="C107" s="235"/>
      <c r="D107" s="238">
        <v>9.2970521541950096E-2</v>
      </c>
      <c r="E107" s="239">
        <f t="shared" ref="E107:E138" si="18">$E$10</f>
        <v>72</v>
      </c>
      <c r="F107" s="239">
        <v>0</v>
      </c>
      <c r="G107" s="41">
        <f t="shared" ref="G107:G138" si="19">F107*C107</f>
        <v>0</v>
      </c>
      <c r="H107" s="41">
        <f t="shared" si="15"/>
        <v>0</v>
      </c>
      <c r="I107" s="188">
        <f t="shared" si="16"/>
        <v>0</v>
      </c>
      <c r="J107" s="5"/>
      <c r="K107" s="3"/>
      <c r="L107" s="3"/>
      <c r="M107" s="3"/>
      <c r="N107" s="15"/>
      <c r="O107" s="15"/>
      <c r="P107" s="15"/>
      <c r="Q107" s="15"/>
      <c r="R107" s="15"/>
      <c r="S107" s="15"/>
      <c r="T107" s="15"/>
      <c r="U107" s="15"/>
      <c r="V107" s="15"/>
      <c r="W107" s="15"/>
      <c r="X107" s="15"/>
      <c r="Y107" s="15"/>
      <c r="Z107" s="15"/>
      <c r="AA107" s="15"/>
      <c r="AB107" s="15">
        <f t="shared" ref="AB107:AB139" si="20">(C106*D106*E106*F106)/$E$5</f>
        <v>2.060816326530611</v>
      </c>
      <c r="AC107" s="15">
        <f t="shared" si="17"/>
        <v>0</v>
      </c>
    </row>
    <row r="108" spans="1:29" ht="15.4">
      <c r="A108" s="105"/>
      <c r="B108" s="53" t="s">
        <v>148</v>
      </c>
      <c r="C108" s="235">
        <v>1</v>
      </c>
      <c r="D108" s="238">
        <v>0.12244897959183673</v>
      </c>
      <c r="E108" s="239">
        <f t="shared" si="18"/>
        <v>72</v>
      </c>
      <c r="F108" s="239">
        <v>45</v>
      </c>
      <c r="G108" s="41">
        <f>F108*C108</f>
        <v>45</v>
      </c>
      <c r="H108" s="41">
        <f t="shared" si="15"/>
        <v>0.99183673469387745</v>
      </c>
      <c r="I108" s="188">
        <f t="shared" si="16"/>
        <v>396.73469387755097</v>
      </c>
      <c r="J108" s="5"/>
      <c r="K108" s="3"/>
      <c r="L108" s="3"/>
      <c r="M108" s="3"/>
      <c r="N108" s="15"/>
      <c r="O108" s="15"/>
      <c r="P108" s="15"/>
      <c r="Q108" s="15"/>
      <c r="R108" s="15"/>
      <c r="S108" s="15"/>
      <c r="T108" s="15"/>
      <c r="U108" s="15"/>
      <c r="V108" s="15"/>
      <c r="W108" s="15"/>
      <c r="X108" s="15"/>
      <c r="Y108" s="15"/>
      <c r="Z108" s="15"/>
      <c r="AA108" s="15"/>
      <c r="AB108" s="15">
        <f t="shared" si="20"/>
        <v>0</v>
      </c>
      <c r="AC108" s="15">
        <f t="shared" si="17"/>
        <v>396.73469387755097</v>
      </c>
    </row>
    <row r="109" spans="1:29" ht="15.4">
      <c r="A109" s="105"/>
      <c r="B109" s="53" t="s">
        <v>149</v>
      </c>
      <c r="C109" s="235"/>
      <c r="D109" s="238">
        <v>0.31292517006802723</v>
      </c>
      <c r="E109" s="239">
        <f t="shared" si="18"/>
        <v>72</v>
      </c>
      <c r="F109" s="239"/>
      <c r="G109" s="41">
        <f t="shared" si="19"/>
        <v>0</v>
      </c>
      <c r="H109" s="41">
        <f t="shared" si="15"/>
        <v>0</v>
      </c>
      <c r="I109" s="188">
        <f t="shared" ref="I109:I114" si="21">AC109</f>
        <v>0</v>
      </c>
      <c r="J109" s="5"/>
      <c r="K109" s="3"/>
      <c r="L109" s="3"/>
      <c r="M109" s="3"/>
      <c r="N109" s="15"/>
      <c r="O109" s="15"/>
      <c r="P109" s="15"/>
      <c r="Q109" s="15"/>
      <c r="R109" s="15"/>
      <c r="S109" s="15"/>
      <c r="T109" s="15"/>
      <c r="U109" s="15"/>
      <c r="V109" s="15"/>
      <c r="W109" s="15"/>
      <c r="X109" s="15"/>
      <c r="Y109" s="15"/>
      <c r="Z109" s="15"/>
      <c r="AA109" s="15"/>
      <c r="AB109" s="15">
        <f t="shared" si="20"/>
        <v>0.99183673469387745</v>
      </c>
      <c r="AC109" s="15">
        <f t="shared" si="17"/>
        <v>0</v>
      </c>
    </row>
    <row r="110" spans="1:29" ht="15.4">
      <c r="A110" s="105"/>
      <c r="B110" s="53" t="s">
        <v>150</v>
      </c>
      <c r="C110" s="235">
        <v>0.1</v>
      </c>
      <c r="D110" s="238">
        <v>0.54421768707482998</v>
      </c>
      <c r="E110" s="239">
        <f t="shared" si="18"/>
        <v>72</v>
      </c>
      <c r="F110" s="239">
        <v>45</v>
      </c>
      <c r="G110" s="41">
        <f t="shared" si="19"/>
        <v>4.5</v>
      </c>
      <c r="H110" s="41">
        <f t="shared" si="15"/>
        <v>0.44081632653061226</v>
      </c>
      <c r="I110" s="188">
        <f t="shared" si="21"/>
        <v>176.32653061224491</v>
      </c>
      <c r="J110" s="5"/>
      <c r="K110" s="3"/>
      <c r="L110" s="3"/>
      <c r="M110" s="3"/>
      <c r="N110" s="15"/>
      <c r="O110" s="15"/>
      <c r="P110" s="15"/>
      <c r="Q110" s="15"/>
      <c r="R110" s="15"/>
      <c r="S110" s="15"/>
      <c r="T110" s="15"/>
      <c r="U110" s="15"/>
      <c r="V110" s="15"/>
      <c r="W110" s="15"/>
      <c r="X110" s="15"/>
      <c r="Y110" s="15"/>
      <c r="Z110" s="15"/>
      <c r="AA110" s="15"/>
      <c r="AB110" s="15">
        <f t="shared" si="20"/>
        <v>0</v>
      </c>
      <c r="AC110" s="15">
        <f t="shared" si="17"/>
        <v>176.32653061224491</v>
      </c>
    </row>
    <row r="111" spans="1:29" ht="15.4">
      <c r="A111" s="105"/>
      <c r="B111" s="53" t="s">
        <v>137</v>
      </c>
      <c r="C111" s="235"/>
      <c r="D111" s="238">
        <v>3.0839002267573697E-2</v>
      </c>
      <c r="E111" s="239">
        <f t="shared" si="18"/>
        <v>72</v>
      </c>
      <c r="F111" s="239"/>
      <c r="G111" s="41">
        <f t="shared" si="19"/>
        <v>0</v>
      </c>
      <c r="H111" s="41">
        <f t="shared" si="15"/>
        <v>0</v>
      </c>
      <c r="I111" s="188">
        <f t="shared" si="21"/>
        <v>0</v>
      </c>
      <c r="J111" s="5"/>
      <c r="K111" s="3"/>
      <c r="L111" s="3"/>
      <c r="M111" s="3"/>
      <c r="N111" s="15"/>
      <c r="O111" s="15"/>
      <c r="P111" s="15"/>
      <c r="Q111" s="15"/>
      <c r="R111" s="15"/>
      <c r="S111" s="15"/>
      <c r="T111" s="15"/>
      <c r="U111" s="15"/>
      <c r="V111" s="15"/>
      <c r="W111" s="15"/>
      <c r="X111" s="15"/>
      <c r="Y111" s="15"/>
      <c r="Z111" s="15"/>
      <c r="AA111" s="15"/>
      <c r="AB111" s="15">
        <f t="shared" si="20"/>
        <v>0.44081632653061226</v>
      </c>
      <c r="AC111" s="15">
        <f t="shared" si="17"/>
        <v>0</v>
      </c>
    </row>
    <row r="112" spans="1:29" ht="15.4">
      <c r="A112" s="105" t="s">
        <v>151</v>
      </c>
      <c r="B112" s="53" t="s">
        <v>146</v>
      </c>
      <c r="C112" s="235">
        <v>3.3</v>
      </c>
      <c r="D112" s="238">
        <v>7.7097505668934196E-2</v>
      </c>
      <c r="E112" s="239">
        <f t="shared" si="18"/>
        <v>72</v>
      </c>
      <c r="F112" s="239">
        <v>85</v>
      </c>
      <c r="G112" s="41">
        <f t="shared" si="19"/>
        <v>280.5</v>
      </c>
      <c r="H112" s="41">
        <f t="shared" si="15"/>
        <v>3.8926530612244874</v>
      </c>
      <c r="I112" s="188">
        <f t="shared" si="21"/>
        <v>1557.061224489795</v>
      </c>
      <c r="J112" s="1"/>
      <c r="K112" s="3"/>
      <c r="L112" s="3"/>
      <c r="M112" s="3"/>
      <c r="N112" s="15"/>
      <c r="O112" s="15"/>
      <c r="P112" s="15"/>
      <c r="Q112" s="15"/>
      <c r="R112" s="15"/>
      <c r="S112" s="15"/>
      <c r="T112" s="15"/>
      <c r="U112" s="15"/>
      <c r="V112" s="15"/>
      <c r="W112" s="15"/>
      <c r="X112" s="15"/>
      <c r="Y112" s="15"/>
      <c r="Z112" s="15"/>
      <c r="AA112" s="15"/>
      <c r="AB112" s="15">
        <f t="shared" si="20"/>
        <v>0</v>
      </c>
      <c r="AC112" s="15">
        <f t="shared" si="17"/>
        <v>1557.061224489795</v>
      </c>
    </row>
    <row r="113" spans="1:29" ht="15.4">
      <c r="A113" s="105"/>
      <c r="B113" s="53" t="s">
        <v>147</v>
      </c>
      <c r="C113" s="219"/>
      <c r="D113" s="109">
        <v>9.2970521541950096E-2</v>
      </c>
      <c r="E113" s="239">
        <f t="shared" si="18"/>
        <v>72</v>
      </c>
      <c r="F113" s="217"/>
      <c r="G113" s="41">
        <f t="shared" si="19"/>
        <v>0</v>
      </c>
      <c r="H113" s="41">
        <f t="shared" si="15"/>
        <v>0</v>
      </c>
      <c r="I113" s="188">
        <f t="shared" si="21"/>
        <v>0</v>
      </c>
      <c r="J113" s="8"/>
      <c r="K113" s="3"/>
      <c r="L113" s="3"/>
      <c r="M113" s="3"/>
      <c r="N113" s="15"/>
      <c r="O113" s="15"/>
      <c r="P113" s="15"/>
      <c r="Q113" s="15"/>
      <c r="R113" s="15"/>
      <c r="S113" s="15"/>
      <c r="T113" s="15"/>
      <c r="U113" s="15"/>
      <c r="V113" s="15"/>
      <c r="W113" s="15"/>
      <c r="X113" s="15"/>
      <c r="Y113" s="15"/>
      <c r="Z113" s="15"/>
      <c r="AA113" s="15"/>
      <c r="AB113" s="15">
        <f t="shared" si="20"/>
        <v>3.8926530612244874</v>
      </c>
      <c r="AC113" s="15">
        <f t="shared" si="17"/>
        <v>0</v>
      </c>
    </row>
    <row r="114" spans="1:29" ht="15.4">
      <c r="A114" s="105"/>
      <c r="B114" s="53" t="s">
        <v>148</v>
      </c>
      <c r="C114" s="235">
        <v>1</v>
      </c>
      <c r="D114" s="238">
        <v>0.12244897959183673</v>
      </c>
      <c r="E114" s="239">
        <f t="shared" si="18"/>
        <v>72</v>
      </c>
      <c r="F114" s="239">
        <v>85</v>
      </c>
      <c r="G114" s="41">
        <f t="shared" si="19"/>
        <v>85</v>
      </c>
      <c r="H114" s="41">
        <f t="shared" si="15"/>
        <v>1.8734693877551019</v>
      </c>
      <c r="I114" s="188">
        <f t="shared" si="21"/>
        <v>749.38775510204073</v>
      </c>
      <c r="J114" s="1"/>
      <c r="K114" s="3"/>
      <c r="L114" s="3"/>
      <c r="M114" s="3"/>
      <c r="N114" s="15"/>
      <c r="O114" s="15"/>
      <c r="P114" s="15"/>
      <c r="Q114" s="15"/>
      <c r="R114" s="15"/>
      <c r="S114" s="15"/>
      <c r="T114" s="15"/>
      <c r="U114" s="15"/>
      <c r="V114" s="15"/>
      <c r="W114" s="15"/>
      <c r="X114" s="15"/>
      <c r="Y114" s="15"/>
      <c r="Z114" s="15"/>
      <c r="AA114" s="15"/>
      <c r="AB114" s="15">
        <f t="shared" si="20"/>
        <v>0</v>
      </c>
      <c r="AC114" s="15">
        <f t="shared" si="17"/>
        <v>749.38775510204073</v>
      </c>
    </row>
    <row r="115" spans="1:29" ht="15.4">
      <c r="A115" s="105"/>
      <c r="B115" s="53" t="s">
        <v>149</v>
      </c>
      <c r="C115" s="235"/>
      <c r="D115" s="238">
        <v>0.31292517006802723</v>
      </c>
      <c r="E115" s="239">
        <f t="shared" si="18"/>
        <v>72</v>
      </c>
      <c r="F115" s="239"/>
      <c r="G115" s="41">
        <f t="shared" si="19"/>
        <v>0</v>
      </c>
      <c r="H115" s="41">
        <f t="shared" si="15"/>
        <v>0</v>
      </c>
      <c r="I115" s="188">
        <f>AC115</f>
        <v>0</v>
      </c>
      <c r="J115" s="1"/>
      <c r="K115" s="3"/>
      <c r="L115" s="3"/>
      <c r="M115" s="3"/>
      <c r="N115" s="15"/>
      <c r="O115" s="15"/>
      <c r="P115" s="15"/>
      <c r="Q115" s="15"/>
      <c r="R115" s="15"/>
      <c r="S115" s="15"/>
      <c r="T115" s="15"/>
      <c r="U115" s="15"/>
      <c r="V115" s="15"/>
      <c r="W115" s="15"/>
      <c r="X115" s="15"/>
      <c r="Y115" s="15"/>
      <c r="Z115" s="15"/>
      <c r="AA115" s="15"/>
      <c r="AB115" s="15">
        <f t="shared" si="20"/>
        <v>1.8734693877551019</v>
      </c>
      <c r="AC115" s="15">
        <f t="shared" si="17"/>
        <v>0</v>
      </c>
    </row>
    <row r="116" spans="1:29" ht="15.4">
      <c r="A116" s="105"/>
      <c r="B116" s="53" t="s">
        <v>150</v>
      </c>
      <c r="C116" s="235">
        <v>0.1</v>
      </c>
      <c r="D116" s="238">
        <v>0.54421768707482998</v>
      </c>
      <c r="E116" s="239">
        <f t="shared" si="18"/>
        <v>72</v>
      </c>
      <c r="F116" s="239"/>
      <c r="G116" s="41">
        <f t="shared" si="19"/>
        <v>0</v>
      </c>
      <c r="H116" s="41">
        <f t="shared" si="15"/>
        <v>0</v>
      </c>
      <c r="I116" s="188">
        <f t="shared" ref="I116:I120" si="22">AC116</f>
        <v>0</v>
      </c>
      <c r="J116" s="1"/>
      <c r="K116" s="3"/>
      <c r="L116" s="3"/>
      <c r="M116" s="3"/>
      <c r="N116" s="15"/>
      <c r="O116" s="15"/>
      <c r="P116" s="15"/>
      <c r="Q116" s="15"/>
      <c r="R116" s="15"/>
      <c r="S116" s="15"/>
      <c r="T116" s="15"/>
      <c r="U116" s="15"/>
      <c r="V116" s="15"/>
      <c r="W116" s="15"/>
      <c r="X116" s="15"/>
      <c r="Y116" s="15"/>
      <c r="Z116" s="15"/>
      <c r="AA116" s="15"/>
      <c r="AB116" s="15">
        <f t="shared" si="20"/>
        <v>0</v>
      </c>
      <c r="AC116" s="15">
        <f t="shared" si="17"/>
        <v>0</v>
      </c>
    </row>
    <row r="117" spans="1:29" ht="15.4">
      <c r="A117" s="105"/>
      <c r="B117" s="53" t="s">
        <v>137</v>
      </c>
      <c r="C117" s="235"/>
      <c r="D117" s="238">
        <v>3.0839002267573697E-2</v>
      </c>
      <c r="E117" s="239">
        <f t="shared" si="18"/>
        <v>72</v>
      </c>
      <c r="F117" s="239"/>
      <c r="G117" s="41">
        <f t="shared" si="19"/>
        <v>0</v>
      </c>
      <c r="H117" s="41">
        <f t="shared" si="15"/>
        <v>0</v>
      </c>
      <c r="I117" s="188">
        <f t="shared" si="22"/>
        <v>0</v>
      </c>
      <c r="J117" s="1"/>
      <c r="K117" s="3"/>
      <c r="L117" s="3"/>
      <c r="M117" s="3"/>
      <c r="N117" s="15"/>
      <c r="O117" s="15"/>
      <c r="P117" s="15"/>
      <c r="Q117" s="15"/>
      <c r="R117" s="15"/>
      <c r="S117" s="15"/>
      <c r="T117" s="15"/>
      <c r="U117" s="15"/>
      <c r="V117" s="15"/>
      <c r="W117" s="15"/>
      <c r="X117" s="15"/>
      <c r="Y117" s="15"/>
      <c r="Z117" s="15"/>
      <c r="AA117" s="15"/>
      <c r="AB117" s="15">
        <f t="shared" si="20"/>
        <v>0</v>
      </c>
      <c r="AC117" s="15">
        <f t="shared" si="17"/>
        <v>0</v>
      </c>
    </row>
    <row r="118" spans="1:29" ht="15.4">
      <c r="A118" s="105" t="s">
        <v>152</v>
      </c>
      <c r="B118" s="53" t="s">
        <v>146</v>
      </c>
      <c r="C118" s="235">
        <v>3.3</v>
      </c>
      <c r="D118" s="238">
        <v>7.7097505668934196E-2</v>
      </c>
      <c r="E118" s="239">
        <f t="shared" si="18"/>
        <v>72</v>
      </c>
      <c r="F118" s="239">
        <v>30</v>
      </c>
      <c r="G118" s="41">
        <f t="shared" si="19"/>
        <v>99</v>
      </c>
      <c r="H118" s="41">
        <f t="shared" si="15"/>
        <v>1.3738775510204073</v>
      </c>
      <c r="I118" s="188">
        <f t="shared" si="22"/>
        <v>549.55102040816291</v>
      </c>
      <c r="J118" s="1"/>
      <c r="K118" s="3"/>
      <c r="L118" s="3"/>
      <c r="M118" s="3"/>
      <c r="N118" s="15"/>
      <c r="O118" s="15"/>
      <c r="P118" s="15"/>
      <c r="Q118" s="15"/>
      <c r="R118" s="15"/>
      <c r="S118" s="15"/>
      <c r="T118" s="15"/>
      <c r="U118" s="15"/>
      <c r="V118" s="15"/>
      <c r="W118" s="15"/>
      <c r="X118" s="15"/>
      <c r="Y118" s="15"/>
      <c r="Z118" s="15"/>
      <c r="AA118" s="15"/>
      <c r="AB118" s="15">
        <f t="shared" si="20"/>
        <v>0</v>
      </c>
      <c r="AC118" s="15">
        <f t="shared" si="17"/>
        <v>549.55102040816291</v>
      </c>
    </row>
    <row r="119" spans="1:29" ht="15.4">
      <c r="A119" s="105"/>
      <c r="B119" s="53" t="s">
        <v>147</v>
      </c>
      <c r="C119" s="235"/>
      <c r="D119" s="238">
        <v>9.2970521541950096E-2</v>
      </c>
      <c r="E119" s="239">
        <f t="shared" si="18"/>
        <v>72</v>
      </c>
      <c r="F119" s="239"/>
      <c r="G119" s="41">
        <f t="shared" si="19"/>
        <v>0</v>
      </c>
      <c r="H119" s="41">
        <f t="shared" si="15"/>
        <v>0</v>
      </c>
      <c r="I119" s="188">
        <f t="shared" si="22"/>
        <v>0</v>
      </c>
      <c r="J119" s="1"/>
      <c r="K119" s="3"/>
      <c r="L119" s="3"/>
      <c r="M119" s="3"/>
      <c r="N119" s="15"/>
      <c r="O119" s="15"/>
      <c r="P119" s="15"/>
      <c r="Q119" s="15"/>
      <c r="R119" s="15"/>
      <c r="S119" s="15"/>
      <c r="T119" s="15"/>
      <c r="U119" s="15"/>
      <c r="V119" s="15"/>
      <c r="W119" s="15"/>
      <c r="X119" s="15"/>
      <c r="Y119" s="15"/>
      <c r="Z119" s="15"/>
      <c r="AA119" s="15"/>
      <c r="AB119" s="15">
        <f t="shared" si="20"/>
        <v>1.3738775510204073</v>
      </c>
      <c r="AC119" s="15">
        <f t="shared" si="17"/>
        <v>0</v>
      </c>
    </row>
    <row r="120" spans="1:29" ht="15.4">
      <c r="A120" s="105"/>
      <c r="B120" s="53" t="s">
        <v>148</v>
      </c>
      <c r="C120" s="238">
        <v>1.25</v>
      </c>
      <c r="D120" s="238">
        <v>0.12244897959183673</v>
      </c>
      <c r="E120" s="239">
        <f t="shared" si="18"/>
        <v>72</v>
      </c>
      <c r="F120" s="239">
        <v>30</v>
      </c>
      <c r="G120" s="41">
        <f t="shared" si="19"/>
        <v>37.5</v>
      </c>
      <c r="H120" s="41">
        <f t="shared" si="15"/>
        <v>0.82653061224489799</v>
      </c>
      <c r="I120" s="188">
        <f t="shared" si="22"/>
        <v>330.61224489795921</v>
      </c>
      <c r="J120" s="1"/>
      <c r="K120" s="3"/>
      <c r="L120" s="3"/>
      <c r="M120" s="3"/>
      <c r="N120" s="15"/>
      <c r="O120" s="15"/>
      <c r="P120" s="15"/>
      <c r="Q120" s="15"/>
      <c r="R120" s="15"/>
      <c r="S120" s="15"/>
      <c r="T120" s="15"/>
      <c r="U120" s="15"/>
      <c r="V120" s="15"/>
      <c r="W120" s="15"/>
      <c r="X120" s="15"/>
      <c r="Y120" s="15"/>
      <c r="Z120" s="15"/>
      <c r="AA120" s="15"/>
      <c r="AB120" s="15">
        <f t="shared" si="20"/>
        <v>0</v>
      </c>
      <c r="AC120" s="15">
        <f t="shared" si="17"/>
        <v>330.61224489795921</v>
      </c>
    </row>
    <row r="121" spans="1:29" ht="15.4">
      <c r="A121" s="105"/>
      <c r="B121" s="53" t="s">
        <v>149</v>
      </c>
      <c r="C121" s="238"/>
      <c r="D121" s="238">
        <v>0.31292517006802723</v>
      </c>
      <c r="E121" s="239">
        <f t="shared" si="18"/>
        <v>72</v>
      </c>
      <c r="F121" s="239"/>
      <c r="G121" s="41">
        <f t="shared" si="19"/>
        <v>0</v>
      </c>
      <c r="H121" s="41">
        <f t="shared" si="15"/>
        <v>0</v>
      </c>
      <c r="I121" s="188">
        <f>AC121</f>
        <v>0</v>
      </c>
      <c r="J121" s="1"/>
      <c r="K121" s="3"/>
      <c r="L121" s="3"/>
      <c r="M121" s="3"/>
      <c r="N121" s="15"/>
      <c r="O121" s="15"/>
      <c r="P121" s="15"/>
      <c r="Q121" s="15"/>
      <c r="R121" s="15"/>
      <c r="S121" s="15"/>
      <c r="T121" s="15"/>
      <c r="U121" s="15"/>
      <c r="V121" s="15"/>
      <c r="W121" s="15"/>
      <c r="X121" s="15"/>
      <c r="Y121" s="15"/>
      <c r="Z121" s="15"/>
      <c r="AA121" s="15"/>
      <c r="AB121" s="15">
        <f t="shared" si="20"/>
        <v>0.82653061224489799</v>
      </c>
      <c r="AC121" s="15">
        <f t="shared" si="17"/>
        <v>0</v>
      </c>
    </row>
    <row r="122" spans="1:29" ht="15.4">
      <c r="A122" s="105"/>
      <c r="B122" s="53" t="s">
        <v>150</v>
      </c>
      <c r="C122" s="238">
        <v>0.25</v>
      </c>
      <c r="D122" s="238">
        <v>0.54421768707482998</v>
      </c>
      <c r="E122" s="239">
        <f t="shared" si="18"/>
        <v>72</v>
      </c>
      <c r="F122" s="239">
        <v>30</v>
      </c>
      <c r="G122" s="41">
        <f t="shared" si="19"/>
        <v>7.5</v>
      </c>
      <c r="H122" s="41">
        <f t="shared" si="15"/>
        <v>0.73469387755102045</v>
      </c>
      <c r="I122" s="188">
        <f t="shared" ref="I122:I124" si="23">AC122</f>
        <v>293.87755102040819</v>
      </c>
      <c r="J122" s="1"/>
      <c r="K122" s="3"/>
      <c r="L122" s="3"/>
      <c r="M122" s="3"/>
      <c r="N122" s="15"/>
      <c r="O122" s="15"/>
      <c r="P122" s="15"/>
      <c r="Q122" s="15"/>
      <c r="R122" s="15"/>
      <c r="S122" s="15"/>
      <c r="T122" s="15"/>
      <c r="U122" s="15"/>
      <c r="V122" s="15"/>
      <c r="W122" s="15"/>
      <c r="X122" s="15"/>
      <c r="Y122" s="15"/>
      <c r="Z122" s="15"/>
      <c r="AA122" s="15"/>
      <c r="AB122" s="15">
        <f t="shared" si="20"/>
        <v>0</v>
      </c>
      <c r="AC122" s="15">
        <f t="shared" si="17"/>
        <v>293.87755102040819</v>
      </c>
    </row>
    <row r="123" spans="1:29" ht="15.4">
      <c r="A123" s="105"/>
      <c r="B123" s="53" t="s">
        <v>137</v>
      </c>
      <c r="C123" s="238"/>
      <c r="D123" s="238">
        <v>3.0839002267573697E-2</v>
      </c>
      <c r="E123" s="239">
        <f t="shared" si="18"/>
        <v>72</v>
      </c>
      <c r="F123" s="239"/>
      <c r="G123" s="41">
        <f t="shared" si="19"/>
        <v>0</v>
      </c>
      <c r="H123" s="41">
        <f t="shared" si="15"/>
        <v>0</v>
      </c>
      <c r="I123" s="188">
        <f t="shared" si="23"/>
        <v>0</v>
      </c>
      <c r="J123" s="1"/>
      <c r="K123" s="3"/>
      <c r="L123" s="3"/>
      <c r="M123" s="3"/>
      <c r="N123" s="15"/>
      <c r="O123" s="15"/>
      <c r="P123" s="15"/>
      <c r="Q123" s="15"/>
      <c r="R123" s="15"/>
      <c r="S123" s="15"/>
      <c r="T123" s="15"/>
      <c r="U123" s="15"/>
      <c r="V123" s="15"/>
      <c r="W123" s="15"/>
      <c r="X123" s="15"/>
      <c r="Y123" s="15"/>
      <c r="Z123" s="15"/>
      <c r="AA123" s="15"/>
      <c r="AB123" s="15">
        <f t="shared" si="20"/>
        <v>0.73469387755102045</v>
      </c>
      <c r="AC123" s="15">
        <f t="shared" si="17"/>
        <v>0</v>
      </c>
    </row>
    <row r="124" spans="1:29" ht="15.4">
      <c r="A124" s="105" t="s">
        <v>157</v>
      </c>
      <c r="B124" s="53" t="s">
        <v>146</v>
      </c>
      <c r="C124" s="235"/>
      <c r="D124" s="238">
        <v>7.7097505668934196E-2</v>
      </c>
      <c r="E124" s="239">
        <f t="shared" si="18"/>
        <v>72</v>
      </c>
      <c r="F124" s="239"/>
      <c r="G124" s="41">
        <f t="shared" si="19"/>
        <v>0</v>
      </c>
      <c r="H124" s="41">
        <f t="shared" si="15"/>
        <v>0</v>
      </c>
      <c r="I124" s="188">
        <f t="shared" si="23"/>
        <v>0</v>
      </c>
      <c r="J124" s="5"/>
      <c r="K124" s="3"/>
      <c r="L124" s="3"/>
      <c r="M124" s="3"/>
      <c r="N124" s="15"/>
      <c r="O124" s="15"/>
      <c r="P124" s="15"/>
      <c r="Q124" s="15"/>
      <c r="R124" s="15"/>
      <c r="S124" s="15"/>
      <c r="T124" s="15"/>
      <c r="U124" s="15"/>
      <c r="V124" s="15"/>
      <c r="W124" s="15"/>
      <c r="X124" s="15"/>
      <c r="Y124" s="15"/>
      <c r="Z124" s="15"/>
      <c r="AA124" s="15"/>
      <c r="AB124" s="15">
        <f t="shared" si="20"/>
        <v>0</v>
      </c>
      <c r="AC124" s="15">
        <f t="shared" si="17"/>
        <v>0</v>
      </c>
    </row>
    <row r="125" spans="1:29" ht="15.4">
      <c r="A125" s="105"/>
      <c r="B125" s="53" t="s">
        <v>147</v>
      </c>
      <c r="C125" s="235"/>
      <c r="D125" s="238">
        <v>9.2970521541950096E-2</v>
      </c>
      <c r="E125" s="239">
        <f t="shared" si="18"/>
        <v>72</v>
      </c>
      <c r="F125" s="239"/>
      <c r="G125" s="41">
        <f t="shared" si="19"/>
        <v>0</v>
      </c>
      <c r="H125" s="41">
        <f t="shared" si="15"/>
        <v>0</v>
      </c>
      <c r="I125" s="188">
        <f>AC125</f>
        <v>0</v>
      </c>
      <c r="J125" s="5"/>
      <c r="K125" s="3"/>
      <c r="L125" s="3"/>
      <c r="M125" s="3"/>
      <c r="N125" s="15"/>
      <c r="O125" s="15"/>
      <c r="P125" s="15"/>
      <c r="Q125" s="15"/>
      <c r="R125" s="15"/>
      <c r="S125" s="15"/>
      <c r="T125" s="15"/>
      <c r="U125" s="15"/>
      <c r="V125" s="15"/>
      <c r="W125" s="15"/>
      <c r="X125" s="15"/>
      <c r="Y125" s="15"/>
      <c r="Z125" s="15"/>
      <c r="AA125" s="15"/>
      <c r="AB125" s="15">
        <f t="shared" si="20"/>
        <v>0</v>
      </c>
      <c r="AC125" s="15">
        <f t="shared" si="17"/>
        <v>0</v>
      </c>
    </row>
    <row r="126" spans="1:29" ht="15.4">
      <c r="A126" s="105"/>
      <c r="B126" s="53" t="s">
        <v>148</v>
      </c>
      <c r="C126" s="235"/>
      <c r="D126" s="238">
        <v>0.12244897959183673</v>
      </c>
      <c r="E126" s="239">
        <f t="shared" si="18"/>
        <v>72</v>
      </c>
      <c r="F126" s="239"/>
      <c r="G126" s="41">
        <f t="shared" si="19"/>
        <v>0</v>
      </c>
      <c r="H126" s="41">
        <f t="shared" si="15"/>
        <v>0</v>
      </c>
      <c r="I126" s="188">
        <f t="shared" ref="I126:I130" si="24">AC126</f>
        <v>0</v>
      </c>
      <c r="J126" s="5"/>
      <c r="K126" s="3"/>
      <c r="L126" s="3"/>
      <c r="M126" s="3"/>
      <c r="N126" s="15"/>
      <c r="O126" s="15"/>
      <c r="P126" s="15"/>
      <c r="Q126" s="15"/>
      <c r="R126" s="15"/>
      <c r="S126" s="15"/>
      <c r="T126" s="15"/>
      <c r="U126" s="15"/>
      <c r="V126" s="15"/>
      <c r="W126" s="15"/>
      <c r="X126" s="15"/>
      <c r="Y126" s="15"/>
      <c r="Z126" s="15"/>
      <c r="AA126" s="15"/>
      <c r="AB126" s="15">
        <f t="shared" si="20"/>
        <v>0</v>
      </c>
      <c r="AC126" s="15">
        <f t="shared" si="17"/>
        <v>0</v>
      </c>
    </row>
    <row r="127" spans="1:29" ht="15.4">
      <c r="A127" s="105"/>
      <c r="B127" s="53" t="s">
        <v>149</v>
      </c>
      <c r="C127" s="235"/>
      <c r="D127" s="238">
        <v>0.31292517006802723</v>
      </c>
      <c r="E127" s="239">
        <f t="shared" si="18"/>
        <v>72</v>
      </c>
      <c r="F127" s="239"/>
      <c r="G127" s="41">
        <f t="shared" si="19"/>
        <v>0</v>
      </c>
      <c r="H127" s="41">
        <f t="shared" si="15"/>
        <v>0</v>
      </c>
      <c r="I127" s="188">
        <f t="shared" si="24"/>
        <v>0</v>
      </c>
      <c r="J127" s="5"/>
      <c r="K127" s="3"/>
      <c r="L127" s="3"/>
      <c r="M127" s="3"/>
      <c r="N127" s="15"/>
      <c r="O127" s="15"/>
      <c r="P127" s="15"/>
      <c r="Q127" s="15"/>
      <c r="R127" s="15"/>
      <c r="S127" s="15"/>
      <c r="T127" s="15"/>
      <c r="U127" s="15"/>
      <c r="V127" s="15"/>
      <c r="W127" s="15"/>
      <c r="X127" s="15"/>
      <c r="Y127" s="15"/>
      <c r="Z127" s="15"/>
      <c r="AA127" s="15"/>
      <c r="AB127" s="15">
        <f t="shared" si="20"/>
        <v>0</v>
      </c>
      <c r="AC127" s="15">
        <f t="shared" si="17"/>
        <v>0</v>
      </c>
    </row>
    <row r="128" spans="1:29" ht="15.4">
      <c r="A128" s="105"/>
      <c r="B128" s="53" t="s">
        <v>150</v>
      </c>
      <c r="C128" s="235"/>
      <c r="D128" s="238">
        <v>0.54421768707482998</v>
      </c>
      <c r="E128" s="239">
        <f t="shared" si="18"/>
        <v>72</v>
      </c>
      <c r="F128" s="239"/>
      <c r="G128" s="41">
        <f t="shared" si="19"/>
        <v>0</v>
      </c>
      <c r="H128" s="41">
        <f t="shared" si="15"/>
        <v>0</v>
      </c>
      <c r="I128" s="188">
        <f t="shared" si="24"/>
        <v>0</v>
      </c>
      <c r="J128" s="5"/>
      <c r="K128" s="3"/>
      <c r="L128" s="3"/>
      <c r="M128" s="3"/>
      <c r="N128" s="15"/>
      <c r="O128" s="15"/>
      <c r="P128" s="15"/>
      <c r="Q128" s="15"/>
      <c r="R128" s="15"/>
      <c r="S128" s="15"/>
      <c r="T128" s="15"/>
      <c r="U128" s="15"/>
      <c r="V128" s="15"/>
      <c r="W128" s="15"/>
      <c r="X128" s="15"/>
      <c r="Y128" s="15"/>
      <c r="Z128" s="15"/>
      <c r="AA128" s="15"/>
      <c r="AB128" s="15">
        <f t="shared" si="20"/>
        <v>0</v>
      </c>
      <c r="AC128" s="15">
        <f t="shared" si="17"/>
        <v>0</v>
      </c>
    </row>
    <row r="129" spans="1:32" ht="15.4">
      <c r="A129" s="105"/>
      <c r="B129" s="53" t="s">
        <v>137</v>
      </c>
      <c r="C129" s="235">
        <v>4.3</v>
      </c>
      <c r="D129" s="238">
        <v>3.0839002267573697E-2</v>
      </c>
      <c r="E129" s="239">
        <f t="shared" si="18"/>
        <v>72</v>
      </c>
      <c r="F129" s="239">
        <v>70</v>
      </c>
      <c r="G129" s="41">
        <f t="shared" si="19"/>
        <v>301</v>
      </c>
      <c r="H129" s="41">
        <f t="shared" si="15"/>
        <v>1.6708571428571426</v>
      </c>
      <c r="I129" s="188">
        <f t="shared" si="24"/>
        <v>668.34285714285704</v>
      </c>
      <c r="J129" s="5"/>
      <c r="K129" s="3"/>
      <c r="L129" s="3"/>
      <c r="M129" s="3"/>
      <c r="N129" s="15"/>
      <c r="O129" s="15"/>
      <c r="P129" s="15"/>
      <c r="Q129" s="15"/>
      <c r="R129" s="15"/>
      <c r="S129" s="15"/>
      <c r="T129" s="15"/>
      <c r="U129" s="15"/>
      <c r="V129" s="15"/>
      <c r="W129" s="15"/>
      <c r="X129" s="15"/>
      <c r="Y129" s="15"/>
      <c r="Z129" s="15"/>
      <c r="AA129" s="15"/>
      <c r="AB129" s="15">
        <f t="shared" si="20"/>
        <v>0</v>
      </c>
      <c r="AC129" s="15">
        <f t="shared" si="17"/>
        <v>668.34285714285704</v>
      </c>
    </row>
    <row r="130" spans="1:32" ht="15.4">
      <c r="A130" s="105" t="s">
        <v>154</v>
      </c>
      <c r="B130" s="53" t="s">
        <v>146</v>
      </c>
      <c r="C130" s="238"/>
      <c r="D130" s="238">
        <v>7.7097505668934196E-2</v>
      </c>
      <c r="E130" s="239">
        <f t="shared" si="18"/>
        <v>72</v>
      </c>
      <c r="F130" s="239"/>
      <c r="G130" s="41">
        <f t="shared" si="19"/>
        <v>0</v>
      </c>
      <c r="H130" s="41">
        <f t="shared" si="15"/>
        <v>0</v>
      </c>
      <c r="I130" s="188">
        <f t="shared" si="24"/>
        <v>0</v>
      </c>
      <c r="J130" s="5"/>
      <c r="K130" s="3"/>
      <c r="L130" s="3"/>
      <c r="M130" s="3"/>
      <c r="N130" s="15"/>
      <c r="O130" s="15"/>
      <c r="P130" s="15"/>
      <c r="Q130" s="15"/>
      <c r="R130" s="15"/>
      <c r="S130" s="15"/>
      <c r="T130" s="15"/>
      <c r="U130" s="15"/>
      <c r="V130" s="15"/>
      <c r="W130" s="15"/>
      <c r="X130" s="15"/>
      <c r="Y130" s="15"/>
      <c r="Z130" s="15"/>
      <c r="AA130" s="15"/>
      <c r="AB130" s="15">
        <f t="shared" si="20"/>
        <v>1.6708571428571426</v>
      </c>
      <c r="AC130" s="15">
        <f t="shared" si="17"/>
        <v>0</v>
      </c>
    </row>
    <row r="131" spans="1:32" ht="15.4">
      <c r="A131" s="105"/>
      <c r="B131" s="53" t="s">
        <v>147</v>
      </c>
      <c r="C131" s="238"/>
      <c r="D131" s="238">
        <v>9.2970521541950096E-2</v>
      </c>
      <c r="E131" s="239">
        <f t="shared" si="18"/>
        <v>72</v>
      </c>
      <c r="F131" s="239"/>
      <c r="G131" s="41">
        <f t="shared" si="19"/>
        <v>0</v>
      </c>
      <c r="H131" s="41">
        <f t="shared" si="15"/>
        <v>0</v>
      </c>
      <c r="I131" s="188">
        <f>AC131</f>
        <v>0</v>
      </c>
      <c r="J131" s="1"/>
      <c r="K131" s="3"/>
      <c r="L131" s="3"/>
      <c r="M131" s="3"/>
      <c r="N131" s="15"/>
      <c r="O131" s="15"/>
      <c r="P131" s="15"/>
      <c r="Q131" s="15"/>
      <c r="R131" s="15"/>
      <c r="S131" s="15"/>
      <c r="T131" s="15"/>
      <c r="U131" s="15"/>
      <c r="V131" s="15"/>
      <c r="W131" s="15"/>
      <c r="X131" s="15"/>
      <c r="Y131" s="15"/>
      <c r="Z131" s="15"/>
      <c r="AA131" s="15"/>
      <c r="AB131" s="15">
        <f t="shared" si="20"/>
        <v>0</v>
      </c>
      <c r="AC131" s="15">
        <f t="shared" si="17"/>
        <v>0</v>
      </c>
    </row>
    <row r="132" spans="1:32" ht="15.4">
      <c r="A132" s="105"/>
      <c r="B132" s="53" t="s">
        <v>148</v>
      </c>
      <c r="C132" s="238"/>
      <c r="D132" s="238">
        <v>0.12244897959183673</v>
      </c>
      <c r="E132" s="239">
        <f t="shared" si="18"/>
        <v>72</v>
      </c>
      <c r="F132" s="239"/>
      <c r="G132" s="41">
        <f t="shared" si="19"/>
        <v>0</v>
      </c>
      <c r="H132" s="41">
        <f t="shared" si="15"/>
        <v>0</v>
      </c>
      <c r="I132" s="188">
        <f t="shared" ref="I132:I137" si="25">AC132</f>
        <v>0</v>
      </c>
      <c r="J132" s="1"/>
      <c r="K132" s="3"/>
      <c r="L132" s="3"/>
      <c r="M132" s="3"/>
      <c r="N132" s="15"/>
      <c r="O132" s="15"/>
      <c r="P132" s="15"/>
      <c r="Q132" s="15"/>
      <c r="R132" s="15"/>
      <c r="S132" s="15"/>
      <c r="T132" s="15"/>
      <c r="U132" s="15"/>
      <c r="V132" s="15"/>
      <c r="W132" s="15"/>
      <c r="X132" s="15"/>
      <c r="Y132" s="15"/>
      <c r="Z132" s="15"/>
      <c r="AA132" s="15"/>
      <c r="AB132" s="15">
        <f t="shared" si="20"/>
        <v>0</v>
      </c>
      <c r="AC132" s="15">
        <f t="shared" si="17"/>
        <v>0</v>
      </c>
    </row>
    <row r="133" spans="1:32" ht="15.4">
      <c r="A133" s="105"/>
      <c r="B133" s="53" t="s">
        <v>149</v>
      </c>
      <c r="C133" s="238"/>
      <c r="D133" s="238">
        <v>0.31292517006802723</v>
      </c>
      <c r="E133" s="239">
        <f t="shared" si="18"/>
        <v>72</v>
      </c>
      <c r="F133" s="239"/>
      <c r="G133" s="41">
        <f t="shared" si="19"/>
        <v>0</v>
      </c>
      <c r="H133" s="41">
        <f t="shared" si="15"/>
        <v>0</v>
      </c>
      <c r="I133" s="188">
        <f t="shared" si="25"/>
        <v>0</v>
      </c>
      <c r="J133" s="1"/>
      <c r="K133" s="3"/>
      <c r="L133" s="3"/>
      <c r="M133" s="3"/>
      <c r="N133" s="15"/>
      <c r="O133" s="15"/>
      <c r="P133" s="15"/>
      <c r="Q133" s="15"/>
      <c r="R133" s="15"/>
      <c r="S133" s="15"/>
      <c r="T133" s="15"/>
      <c r="U133" s="15"/>
      <c r="V133" s="15"/>
      <c r="W133" s="15"/>
      <c r="X133" s="15"/>
      <c r="Y133" s="15"/>
      <c r="Z133" s="15"/>
      <c r="AA133" s="15"/>
      <c r="AB133" s="15">
        <f t="shared" si="20"/>
        <v>0</v>
      </c>
      <c r="AC133" s="15">
        <f t="shared" si="17"/>
        <v>0</v>
      </c>
      <c r="AE133" s="15"/>
      <c r="AF133" s="15"/>
    </row>
    <row r="134" spans="1:32" ht="15.4">
      <c r="A134" s="105"/>
      <c r="B134" s="53" t="s">
        <v>150</v>
      </c>
      <c r="C134" s="238"/>
      <c r="D134" s="238">
        <v>0.54421768707482998</v>
      </c>
      <c r="E134" s="239">
        <f t="shared" si="18"/>
        <v>72</v>
      </c>
      <c r="F134" s="239"/>
      <c r="G134" s="41">
        <f t="shared" si="19"/>
        <v>0</v>
      </c>
      <c r="H134" s="41">
        <f t="shared" si="15"/>
        <v>0</v>
      </c>
      <c r="I134" s="188">
        <f t="shared" si="25"/>
        <v>0</v>
      </c>
      <c r="J134" s="1"/>
      <c r="K134" s="3"/>
      <c r="L134" s="3"/>
      <c r="M134" s="3"/>
      <c r="N134" s="15"/>
      <c r="O134" s="15"/>
      <c r="P134" s="15"/>
      <c r="Q134" s="15"/>
      <c r="R134" s="15"/>
      <c r="S134" s="15"/>
      <c r="T134" s="15"/>
      <c r="U134" s="15"/>
      <c r="V134" s="15"/>
      <c r="W134" s="15"/>
      <c r="X134" s="15"/>
      <c r="Y134" s="15"/>
      <c r="Z134" s="15"/>
      <c r="AA134" s="15"/>
      <c r="AB134" s="15">
        <f t="shared" si="20"/>
        <v>0</v>
      </c>
      <c r="AC134" s="15">
        <f t="shared" si="17"/>
        <v>0</v>
      </c>
      <c r="AE134" s="15"/>
      <c r="AF134" s="15"/>
    </row>
    <row r="135" spans="1:32" ht="15.4">
      <c r="A135" s="105"/>
      <c r="B135" s="53" t="s">
        <v>137</v>
      </c>
      <c r="C135" s="238">
        <v>4.3</v>
      </c>
      <c r="D135" s="238">
        <v>3.0839002267573697E-2</v>
      </c>
      <c r="E135" s="239">
        <f t="shared" si="18"/>
        <v>72</v>
      </c>
      <c r="F135" s="239">
        <v>13</v>
      </c>
      <c r="G135" s="41">
        <f t="shared" si="19"/>
        <v>55.9</v>
      </c>
      <c r="H135" s="41">
        <f t="shared" si="15"/>
        <v>0.31030204081632651</v>
      </c>
      <c r="I135" s="188">
        <f t="shared" si="25"/>
        <v>124.1208163265306</v>
      </c>
      <c r="J135" s="1"/>
      <c r="K135" s="3"/>
      <c r="L135" s="3"/>
      <c r="M135" s="3"/>
      <c r="N135" s="15"/>
      <c r="O135" s="15"/>
      <c r="P135" s="15"/>
      <c r="Q135" s="15"/>
      <c r="R135" s="15"/>
      <c r="S135" s="15"/>
      <c r="T135" s="15"/>
      <c r="U135" s="15"/>
      <c r="V135" s="15"/>
      <c r="W135" s="15"/>
      <c r="X135" s="15"/>
      <c r="Y135" s="15"/>
      <c r="Z135" s="15"/>
      <c r="AA135" s="15"/>
      <c r="AB135" s="15">
        <f t="shared" si="20"/>
        <v>0</v>
      </c>
      <c r="AC135" s="15">
        <f t="shared" si="17"/>
        <v>124.1208163265306</v>
      </c>
      <c r="AE135" s="15"/>
      <c r="AF135" s="15"/>
    </row>
    <row r="136" spans="1:32" ht="15.4">
      <c r="A136" s="105" t="s">
        <v>135</v>
      </c>
      <c r="B136" s="53" t="s">
        <v>155</v>
      </c>
      <c r="C136" s="235">
        <v>0.5</v>
      </c>
      <c r="D136" s="238">
        <v>9.0702947845805001E-2</v>
      </c>
      <c r="E136" s="239">
        <f t="shared" si="18"/>
        <v>72</v>
      </c>
      <c r="F136" s="239">
        <v>160</v>
      </c>
      <c r="G136" s="41">
        <f>F136*C136</f>
        <v>80</v>
      </c>
      <c r="H136" s="41">
        <f t="shared" si="15"/>
        <v>1.3061224489795922</v>
      </c>
      <c r="I136" s="188">
        <f t="shared" si="25"/>
        <v>522.44897959183686</v>
      </c>
      <c r="J136" s="1"/>
      <c r="K136" s="3"/>
      <c r="L136" s="3"/>
      <c r="M136" s="3"/>
      <c r="N136" s="15"/>
      <c r="O136" s="15"/>
      <c r="P136" s="15"/>
      <c r="Q136" s="15"/>
      <c r="R136" s="15"/>
      <c r="S136" s="15"/>
      <c r="T136" s="15"/>
      <c r="U136" s="15"/>
      <c r="V136" s="15"/>
      <c r="W136" s="15"/>
      <c r="X136" s="15"/>
      <c r="Y136" s="15"/>
      <c r="Z136" s="15"/>
      <c r="AA136" s="15"/>
      <c r="AB136" s="15">
        <f t="shared" si="20"/>
        <v>0.31030204081632651</v>
      </c>
      <c r="AC136" s="15">
        <f t="shared" si="17"/>
        <v>522.44897959183686</v>
      </c>
      <c r="AE136" s="15"/>
      <c r="AF136" s="15"/>
    </row>
    <row r="137" spans="1:32" ht="15.4">
      <c r="A137" s="105" t="s">
        <v>138</v>
      </c>
      <c r="B137" s="53"/>
      <c r="C137" s="235">
        <v>2.1999999999999999E-2</v>
      </c>
      <c r="D137" s="238">
        <v>0.72599999999999998</v>
      </c>
      <c r="E137" s="239">
        <f t="shared" si="18"/>
        <v>72</v>
      </c>
      <c r="F137" s="239">
        <v>243</v>
      </c>
      <c r="G137" s="41">
        <f t="shared" si="19"/>
        <v>5.3460000000000001</v>
      </c>
      <c r="H137" s="41">
        <f t="shared" si="15"/>
        <v>0.69861527999999995</v>
      </c>
      <c r="I137" s="188">
        <f t="shared" si="25"/>
        <v>279.44611199999997</v>
      </c>
      <c r="J137" s="5"/>
      <c r="K137" s="3"/>
      <c r="L137" s="3"/>
      <c r="M137" s="3"/>
      <c r="N137" s="15"/>
      <c r="O137" s="15"/>
      <c r="P137" s="15"/>
      <c r="Q137" s="15"/>
      <c r="R137" s="15"/>
      <c r="S137" s="15"/>
      <c r="T137" s="15"/>
      <c r="U137" s="15"/>
      <c r="V137" s="15"/>
      <c r="W137" s="15"/>
      <c r="X137" s="15"/>
      <c r="Y137" s="15"/>
      <c r="Z137" s="15"/>
      <c r="AA137" s="15"/>
      <c r="AB137" s="15">
        <f t="shared" si="20"/>
        <v>1.3061224489795922</v>
      </c>
      <c r="AC137" s="15">
        <f t="shared" si="17"/>
        <v>279.44611199999997</v>
      </c>
    </row>
    <row r="138" spans="1:32" ht="15.4">
      <c r="A138" s="105" t="s">
        <v>139</v>
      </c>
      <c r="B138" s="53"/>
      <c r="C138" s="238">
        <v>1.7999999999999999E-2</v>
      </c>
      <c r="D138" s="238">
        <v>0.22700000000000001</v>
      </c>
      <c r="E138" s="239">
        <f t="shared" si="18"/>
        <v>72</v>
      </c>
      <c r="F138" s="239">
        <v>243</v>
      </c>
      <c r="G138" s="41">
        <f t="shared" si="19"/>
        <v>4.3739999999999997</v>
      </c>
      <c r="H138" s="41">
        <f t="shared" si="15"/>
        <v>0.17872164000000001</v>
      </c>
      <c r="I138" s="188">
        <f>AC138</f>
        <v>71.488656000000006</v>
      </c>
      <c r="J138" s="5"/>
      <c r="K138" s="3"/>
      <c r="L138" s="3"/>
      <c r="M138" s="3"/>
      <c r="N138" s="15"/>
      <c r="O138" s="15"/>
      <c r="P138" s="15"/>
      <c r="Q138" s="15"/>
      <c r="R138" s="15"/>
      <c r="S138" s="15"/>
      <c r="T138" s="15"/>
      <c r="U138" s="15"/>
      <c r="V138" s="15"/>
      <c r="W138" s="15"/>
      <c r="X138" s="15"/>
      <c r="Y138" s="15"/>
      <c r="Z138" s="15"/>
      <c r="AA138" s="15"/>
      <c r="AB138" s="15">
        <f t="shared" si="20"/>
        <v>0.69861527999999995</v>
      </c>
      <c r="AC138" s="15">
        <f t="shared" si="17"/>
        <v>71.488656000000006</v>
      </c>
    </row>
    <row r="139" spans="1:32" ht="15.4">
      <c r="A139" s="26"/>
      <c r="B139" s="18"/>
      <c r="C139" s="24"/>
      <c r="D139" s="23"/>
      <c r="E139" s="23"/>
      <c r="F139" s="23"/>
      <c r="G139" s="23"/>
      <c r="H139" s="43"/>
      <c r="I139" s="39"/>
      <c r="J139" s="1"/>
      <c r="K139" s="3"/>
      <c r="L139" s="3"/>
      <c r="M139" s="3"/>
      <c r="N139" s="15"/>
      <c r="O139" s="15"/>
      <c r="P139" s="15"/>
      <c r="Q139" s="15"/>
      <c r="R139" s="15"/>
      <c r="S139" s="15"/>
      <c r="T139" s="15"/>
      <c r="U139" s="15"/>
      <c r="V139" s="15"/>
      <c r="W139" s="15"/>
      <c r="X139" s="15"/>
      <c r="Y139" s="15"/>
      <c r="Z139" s="15"/>
      <c r="AA139" s="15"/>
      <c r="AB139" s="15">
        <f t="shared" si="20"/>
        <v>0.17872164000000001</v>
      </c>
      <c r="AC139" s="2">
        <f t="shared" si="17"/>
        <v>0</v>
      </c>
    </row>
    <row r="140" spans="1:32" ht="30.95">
      <c r="A140" s="26" t="s">
        <v>158</v>
      </c>
      <c r="B140" s="23"/>
      <c r="C140" s="108" t="s">
        <v>125</v>
      </c>
      <c r="D140" s="36" t="s">
        <v>126</v>
      </c>
      <c r="E140" s="36" t="s">
        <v>127</v>
      </c>
      <c r="F140" s="36" t="s">
        <v>128</v>
      </c>
      <c r="G140" s="36" t="s">
        <v>129</v>
      </c>
      <c r="H140" s="43"/>
      <c r="I140" s="39"/>
      <c r="J140" s="5"/>
      <c r="K140" s="3"/>
      <c r="L140" s="3"/>
      <c r="M140" s="3"/>
      <c r="N140" s="15"/>
      <c r="O140" s="15"/>
      <c r="P140" s="15"/>
      <c r="Q140" s="15"/>
      <c r="R140" s="15"/>
      <c r="S140" s="15"/>
      <c r="T140" s="15"/>
      <c r="U140" s="15"/>
      <c r="V140" s="15"/>
      <c r="W140" s="15"/>
      <c r="X140" s="15"/>
      <c r="Y140" s="15"/>
      <c r="Z140" s="15"/>
      <c r="AA140" s="15"/>
      <c r="AB140" s="15">
        <f ca="1">IF(L31=0,0,HLOOKUP(A2,INDIRECT(L31),12,FALSE)/F47)</f>
        <v>0</v>
      </c>
    </row>
    <row r="141" spans="1:32" ht="15.4">
      <c r="A141" s="105" t="s">
        <v>145</v>
      </c>
      <c r="B141" s="53" t="s">
        <v>146</v>
      </c>
      <c r="C141" s="235">
        <v>7.8</v>
      </c>
      <c r="D141" s="238">
        <v>7.7097505668934196E-2</v>
      </c>
      <c r="E141" s="239">
        <f>$E$11</f>
        <v>6</v>
      </c>
      <c r="F141" s="239">
        <v>60</v>
      </c>
      <c r="G141" s="41">
        <f t="shared" ref="G141:G155" si="26">F141*C141</f>
        <v>468</v>
      </c>
      <c r="H141" s="41">
        <f t="shared" ref="H141:H155" si="27">AB142</f>
        <v>0.54122448979591808</v>
      </c>
      <c r="I141" s="42">
        <f>AC141</f>
        <v>216.48979591836724</v>
      </c>
      <c r="J141" s="5"/>
      <c r="K141" s="3"/>
      <c r="L141" s="3"/>
      <c r="M141" s="3"/>
      <c r="N141" s="15"/>
      <c r="O141" s="15"/>
      <c r="P141" s="15"/>
      <c r="Q141" s="15"/>
      <c r="R141" s="15"/>
      <c r="S141" s="15"/>
      <c r="T141" s="15"/>
      <c r="U141" s="15"/>
      <c r="V141" s="15"/>
      <c r="W141" s="15"/>
      <c r="X141" s="15"/>
      <c r="Y141" s="15"/>
      <c r="Z141" s="15"/>
      <c r="AA141" s="15"/>
      <c r="AB141" s="15">
        <f ca="1">H66*E5</f>
        <v>0</v>
      </c>
      <c r="AC141" s="15">
        <f t="shared" ref="AC141:AC155" si="28">H141*$E$5</f>
        <v>216.48979591836724</v>
      </c>
    </row>
    <row r="142" spans="1:32" ht="15.4">
      <c r="A142" s="105"/>
      <c r="B142" s="53" t="s">
        <v>147</v>
      </c>
      <c r="C142" s="235"/>
      <c r="D142" s="238">
        <v>9.2970521541950096E-2</v>
      </c>
      <c r="E142" s="239">
        <f t="shared" ref="E142:E155" si="29">$E$11</f>
        <v>6</v>
      </c>
      <c r="F142" s="239"/>
      <c r="G142" s="41">
        <f t="shared" si="26"/>
        <v>0</v>
      </c>
      <c r="H142" s="41">
        <f t="shared" si="27"/>
        <v>0</v>
      </c>
      <c r="I142" s="42">
        <f>AC142</f>
        <v>0</v>
      </c>
      <c r="J142" s="5"/>
      <c r="K142" s="3"/>
      <c r="L142" s="3"/>
      <c r="M142" s="3"/>
      <c r="N142" s="15"/>
      <c r="O142" s="15"/>
      <c r="P142" s="15"/>
      <c r="Q142" s="15"/>
      <c r="R142" s="15"/>
      <c r="S142" s="15"/>
      <c r="T142" s="15"/>
      <c r="U142" s="15"/>
      <c r="V142" s="15"/>
      <c r="W142" s="15"/>
      <c r="X142" s="15"/>
      <c r="Y142" s="15"/>
      <c r="Z142" s="15"/>
      <c r="AA142" s="15"/>
      <c r="AB142" s="15">
        <f t="shared" ref="AB142:AB156" si="30">(C141*D141*E141*F141)/$E$5</f>
        <v>0.54122448979591808</v>
      </c>
      <c r="AC142" s="15">
        <f t="shared" si="28"/>
        <v>0</v>
      </c>
    </row>
    <row r="143" spans="1:32" ht="15.4">
      <c r="A143" s="105"/>
      <c r="B143" s="53" t="s">
        <v>148</v>
      </c>
      <c r="C143" s="235">
        <v>0.5</v>
      </c>
      <c r="D143" s="238">
        <v>0.12244897959183673</v>
      </c>
      <c r="E143" s="239">
        <f t="shared" si="29"/>
        <v>6</v>
      </c>
      <c r="F143" s="239">
        <v>90</v>
      </c>
      <c r="G143" s="41">
        <f t="shared" si="26"/>
        <v>45</v>
      </c>
      <c r="H143" s="41">
        <f t="shared" si="27"/>
        <v>8.2653061224489802E-2</v>
      </c>
      <c r="I143" s="42">
        <f t="shared" ref="I143:I148" si="31">AC143</f>
        <v>33.061224489795919</v>
      </c>
      <c r="J143" s="5"/>
      <c r="K143" s="3"/>
      <c r="L143" s="3"/>
      <c r="M143" s="3"/>
      <c r="N143" s="15"/>
      <c r="O143" s="15"/>
      <c r="P143" s="15"/>
      <c r="Q143" s="15"/>
      <c r="R143" s="15"/>
      <c r="S143" s="15"/>
      <c r="T143" s="15"/>
      <c r="U143" s="15"/>
      <c r="V143" s="15"/>
      <c r="W143" s="15"/>
      <c r="X143" s="15"/>
      <c r="Y143" s="15"/>
      <c r="Z143" s="15"/>
      <c r="AA143" s="15"/>
      <c r="AB143" s="15">
        <f t="shared" si="30"/>
        <v>0</v>
      </c>
      <c r="AC143" s="15">
        <f t="shared" si="28"/>
        <v>33.061224489795919</v>
      </c>
    </row>
    <row r="144" spans="1:32" ht="15.4">
      <c r="A144" s="105"/>
      <c r="B144" s="53" t="s">
        <v>149</v>
      </c>
      <c r="C144" s="235"/>
      <c r="D144" s="238">
        <v>0.31292517006802723</v>
      </c>
      <c r="E144" s="239">
        <f t="shared" si="29"/>
        <v>6</v>
      </c>
      <c r="F144" s="239"/>
      <c r="G144" s="41">
        <f t="shared" si="26"/>
        <v>0</v>
      </c>
      <c r="H144" s="41">
        <f t="shared" si="27"/>
        <v>0</v>
      </c>
      <c r="I144" s="42">
        <f t="shared" si="31"/>
        <v>0</v>
      </c>
      <c r="J144" s="5"/>
      <c r="K144" s="3"/>
      <c r="L144" s="3"/>
      <c r="M144" s="3"/>
      <c r="N144" s="15"/>
      <c r="O144" s="15"/>
      <c r="P144" s="15"/>
      <c r="Q144" s="15"/>
      <c r="R144" s="15"/>
      <c r="S144" s="15"/>
      <c r="T144" s="15"/>
      <c r="U144" s="15"/>
      <c r="V144" s="15"/>
      <c r="W144" s="15"/>
      <c r="X144" s="15"/>
      <c r="Y144" s="15"/>
      <c r="Z144" s="15"/>
      <c r="AA144" s="15"/>
      <c r="AB144" s="15">
        <f t="shared" si="30"/>
        <v>8.2653061224489802E-2</v>
      </c>
      <c r="AC144" s="15">
        <f t="shared" si="28"/>
        <v>0</v>
      </c>
    </row>
    <row r="145" spans="1:29" ht="15.4">
      <c r="A145" s="105"/>
      <c r="B145" s="53" t="s">
        <v>150</v>
      </c>
      <c r="C145" s="235"/>
      <c r="D145" s="238">
        <v>0.54421768707482998</v>
      </c>
      <c r="E145" s="239">
        <f t="shared" si="29"/>
        <v>6</v>
      </c>
      <c r="F145" s="239"/>
      <c r="G145" s="41">
        <f t="shared" si="26"/>
        <v>0</v>
      </c>
      <c r="H145" s="41">
        <f t="shared" si="27"/>
        <v>0</v>
      </c>
      <c r="I145" s="42">
        <f t="shared" si="31"/>
        <v>0</v>
      </c>
      <c r="J145" s="5"/>
      <c r="K145" s="3"/>
      <c r="L145" s="3"/>
      <c r="M145" s="3"/>
      <c r="N145" s="15"/>
      <c r="O145" s="15"/>
      <c r="P145" s="15"/>
      <c r="Q145" s="15"/>
      <c r="R145" s="15"/>
      <c r="S145" s="15"/>
      <c r="T145" s="15"/>
      <c r="U145" s="15"/>
      <c r="V145" s="15"/>
      <c r="W145" s="15"/>
      <c r="X145" s="15"/>
      <c r="Y145" s="15"/>
      <c r="Z145" s="15"/>
      <c r="AA145" s="15"/>
      <c r="AB145" s="15">
        <f t="shared" si="30"/>
        <v>0</v>
      </c>
      <c r="AC145" s="15">
        <f t="shared" si="28"/>
        <v>0</v>
      </c>
    </row>
    <row r="146" spans="1:29" ht="15.4">
      <c r="A146" s="105"/>
      <c r="B146" s="53" t="s">
        <v>137</v>
      </c>
      <c r="C146" s="235"/>
      <c r="D146" s="238">
        <v>3.0839002267573697E-2</v>
      </c>
      <c r="E146" s="239">
        <f t="shared" si="29"/>
        <v>6</v>
      </c>
      <c r="F146" s="239"/>
      <c r="G146" s="41">
        <f t="shared" si="26"/>
        <v>0</v>
      </c>
      <c r="H146" s="41">
        <f t="shared" si="27"/>
        <v>0</v>
      </c>
      <c r="I146" s="42">
        <f t="shared" si="31"/>
        <v>0</v>
      </c>
      <c r="J146" s="5"/>
      <c r="K146" s="3"/>
      <c r="L146" s="3"/>
      <c r="M146" s="3"/>
      <c r="N146" s="15"/>
      <c r="O146" s="15"/>
      <c r="P146" s="15"/>
      <c r="Q146" s="15"/>
      <c r="R146" s="15"/>
      <c r="S146" s="15"/>
      <c r="T146" s="15"/>
      <c r="U146" s="15"/>
      <c r="V146" s="15"/>
      <c r="W146" s="15"/>
      <c r="X146" s="15"/>
      <c r="Y146" s="15"/>
      <c r="Z146" s="15"/>
      <c r="AA146" s="15"/>
      <c r="AB146" s="15">
        <f t="shared" si="30"/>
        <v>0</v>
      </c>
      <c r="AC146" s="15">
        <f t="shared" si="28"/>
        <v>0</v>
      </c>
    </row>
    <row r="147" spans="1:29" ht="15.4">
      <c r="A147" s="105" t="s">
        <v>154</v>
      </c>
      <c r="B147" s="53" t="s">
        <v>146</v>
      </c>
      <c r="C147" s="235">
        <v>7.8</v>
      </c>
      <c r="D147" s="238">
        <v>7.7097505668934196E-2</v>
      </c>
      <c r="E147" s="239">
        <f t="shared" si="29"/>
        <v>6</v>
      </c>
      <c r="F147" s="239">
        <v>122</v>
      </c>
      <c r="G147" s="41">
        <f t="shared" si="26"/>
        <v>951.6</v>
      </c>
      <c r="H147" s="41">
        <f t="shared" si="27"/>
        <v>1.1004897959183666</v>
      </c>
      <c r="I147" s="42">
        <f t="shared" si="31"/>
        <v>440.19591836734662</v>
      </c>
      <c r="J147" s="5"/>
      <c r="K147" s="9"/>
      <c r="L147" s="3"/>
      <c r="M147" s="3"/>
      <c r="N147" s="15"/>
      <c r="O147" s="15"/>
      <c r="P147" s="15"/>
      <c r="Q147" s="15"/>
      <c r="R147" s="15"/>
      <c r="S147" s="15"/>
      <c r="T147" s="15"/>
      <c r="U147" s="15"/>
      <c r="V147" s="15"/>
      <c r="W147" s="15"/>
      <c r="X147" s="15"/>
      <c r="Y147" s="15"/>
      <c r="Z147" s="15"/>
      <c r="AA147" s="15"/>
      <c r="AB147" s="15">
        <f t="shared" si="30"/>
        <v>0</v>
      </c>
      <c r="AC147" s="15">
        <f t="shared" si="28"/>
        <v>440.19591836734662</v>
      </c>
    </row>
    <row r="148" spans="1:29" ht="15.4">
      <c r="A148" s="105"/>
      <c r="B148" s="53" t="s">
        <v>147</v>
      </c>
      <c r="C148" s="235"/>
      <c r="D148" s="238">
        <v>9.2970521541950096E-2</v>
      </c>
      <c r="E148" s="239">
        <f t="shared" si="29"/>
        <v>6</v>
      </c>
      <c r="F148" s="239"/>
      <c r="G148" s="41">
        <f t="shared" si="26"/>
        <v>0</v>
      </c>
      <c r="H148" s="41">
        <f t="shared" si="27"/>
        <v>0</v>
      </c>
      <c r="I148" s="42">
        <f t="shared" si="31"/>
        <v>0</v>
      </c>
      <c r="J148" s="1"/>
      <c r="K148" s="9"/>
      <c r="L148" s="3" t="s">
        <v>159</v>
      </c>
      <c r="M148" s="3"/>
      <c r="N148" s="15"/>
      <c r="O148" s="15"/>
      <c r="P148" s="15"/>
      <c r="Q148" s="15"/>
      <c r="R148" s="15"/>
      <c r="S148" s="15"/>
      <c r="T148" s="15"/>
      <c r="U148" s="15"/>
      <c r="V148" s="15"/>
      <c r="W148" s="15"/>
      <c r="X148" s="15"/>
      <c r="Y148" s="15"/>
      <c r="Z148" s="15"/>
      <c r="AA148" s="15"/>
      <c r="AB148" s="15">
        <f t="shared" si="30"/>
        <v>1.1004897959183666</v>
      </c>
      <c r="AC148" s="15">
        <f t="shared" si="28"/>
        <v>0</v>
      </c>
    </row>
    <row r="149" spans="1:29" ht="15.4">
      <c r="A149" s="105"/>
      <c r="B149" s="53" t="s">
        <v>148</v>
      </c>
      <c r="C149" s="235"/>
      <c r="D149" s="238">
        <v>0.12244897959183673</v>
      </c>
      <c r="E149" s="239">
        <f t="shared" si="29"/>
        <v>6</v>
      </c>
      <c r="F149" s="239"/>
      <c r="G149" s="41">
        <f t="shared" si="26"/>
        <v>0</v>
      </c>
      <c r="H149" s="41">
        <f t="shared" si="27"/>
        <v>0</v>
      </c>
      <c r="I149" s="42">
        <f>AC149</f>
        <v>0</v>
      </c>
      <c r="J149" s="1"/>
      <c r="K149" s="9"/>
      <c r="L149" s="3"/>
      <c r="M149" s="3"/>
      <c r="N149" s="15"/>
      <c r="O149" s="15"/>
      <c r="P149" s="15"/>
      <c r="Q149" s="15"/>
      <c r="R149" s="15"/>
      <c r="S149" s="15"/>
      <c r="T149" s="15"/>
      <c r="U149" s="15"/>
      <c r="V149" s="15"/>
      <c r="W149" s="15"/>
      <c r="X149" s="15"/>
      <c r="Y149" s="15"/>
      <c r="Z149" s="15"/>
      <c r="AA149" s="15"/>
      <c r="AB149" s="15">
        <f t="shared" si="30"/>
        <v>0</v>
      </c>
      <c r="AC149" s="15">
        <f t="shared" si="28"/>
        <v>0</v>
      </c>
    </row>
    <row r="150" spans="1:29" ht="15.4">
      <c r="A150" s="105"/>
      <c r="B150" s="53" t="s">
        <v>149</v>
      </c>
      <c r="C150" s="235"/>
      <c r="D150" s="238">
        <v>0.31292517006802723</v>
      </c>
      <c r="E150" s="239">
        <f t="shared" si="29"/>
        <v>6</v>
      </c>
      <c r="F150" s="239"/>
      <c r="G150" s="41">
        <f t="shared" si="26"/>
        <v>0</v>
      </c>
      <c r="H150" s="41">
        <f t="shared" si="27"/>
        <v>0</v>
      </c>
      <c r="I150" s="42">
        <f t="shared" ref="I150:I155" si="32">AC150</f>
        <v>0</v>
      </c>
      <c r="J150" s="1"/>
      <c r="K150" s="9"/>
      <c r="L150" s="3"/>
      <c r="M150" s="3"/>
      <c r="N150" s="15"/>
      <c r="O150" s="15"/>
      <c r="P150" s="15"/>
      <c r="Q150" s="15"/>
      <c r="R150" s="15"/>
      <c r="S150" s="15"/>
      <c r="T150" s="15"/>
      <c r="U150" s="15"/>
      <c r="V150" s="15"/>
      <c r="W150" s="15"/>
      <c r="X150" s="15"/>
      <c r="Y150" s="15"/>
      <c r="Z150" s="15"/>
      <c r="AA150" s="15"/>
      <c r="AB150" s="15">
        <f t="shared" si="30"/>
        <v>0</v>
      </c>
      <c r="AC150" s="15">
        <f t="shared" si="28"/>
        <v>0</v>
      </c>
    </row>
    <row r="151" spans="1:29" ht="15.4">
      <c r="A151" s="105"/>
      <c r="B151" s="53" t="s">
        <v>150</v>
      </c>
      <c r="C151" s="235"/>
      <c r="D151" s="238">
        <v>0.54421768707482998</v>
      </c>
      <c r="E151" s="239">
        <f t="shared" si="29"/>
        <v>6</v>
      </c>
      <c r="F151" s="239"/>
      <c r="G151" s="41">
        <f t="shared" si="26"/>
        <v>0</v>
      </c>
      <c r="H151" s="41">
        <f t="shared" si="27"/>
        <v>0</v>
      </c>
      <c r="I151" s="42">
        <f t="shared" si="32"/>
        <v>0</v>
      </c>
      <c r="J151" s="1"/>
      <c r="K151" s="9"/>
      <c r="L151" s="3"/>
      <c r="M151" s="3"/>
      <c r="N151" s="15"/>
      <c r="O151" s="15"/>
      <c r="P151" s="15"/>
      <c r="Q151" s="15"/>
      <c r="R151" s="15"/>
      <c r="S151" s="15"/>
      <c r="T151" s="15"/>
      <c r="U151" s="15"/>
      <c r="V151" s="15"/>
      <c r="W151" s="15"/>
      <c r="X151" s="15"/>
      <c r="Y151" s="15"/>
      <c r="Z151" s="15"/>
      <c r="AA151" s="15"/>
      <c r="AB151" s="15">
        <f t="shared" si="30"/>
        <v>0</v>
      </c>
      <c r="AC151" s="15">
        <f t="shared" si="28"/>
        <v>0</v>
      </c>
    </row>
    <row r="152" spans="1:29" ht="15.4">
      <c r="A152" s="105"/>
      <c r="B152" s="53" t="s">
        <v>137</v>
      </c>
      <c r="C152" s="235">
        <v>7.8</v>
      </c>
      <c r="D152" s="238">
        <v>3.0839002267573697E-2</v>
      </c>
      <c r="E152" s="239">
        <f t="shared" si="29"/>
        <v>6</v>
      </c>
      <c r="F152" s="239">
        <v>153</v>
      </c>
      <c r="G152" s="41">
        <f t="shared" si="26"/>
        <v>1193.3999999999999</v>
      </c>
      <c r="H152" s="41">
        <f t="shared" si="27"/>
        <v>0.55204897959183674</v>
      </c>
      <c r="I152" s="42">
        <f t="shared" si="32"/>
        <v>220.8195918367347</v>
      </c>
      <c r="J152" s="1"/>
      <c r="K152" s="9"/>
      <c r="L152" s="3"/>
      <c r="M152" s="3"/>
      <c r="N152" s="15"/>
      <c r="O152" s="15"/>
      <c r="P152" s="15"/>
      <c r="Q152" s="15"/>
      <c r="R152" s="15"/>
      <c r="S152" s="15"/>
      <c r="T152" s="15"/>
      <c r="U152" s="15"/>
      <c r="V152" s="15"/>
      <c r="W152" s="15"/>
      <c r="X152" s="15"/>
      <c r="Y152" s="15"/>
      <c r="Z152" s="15"/>
      <c r="AA152" s="15"/>
      <c r="AB152" s="15">
        <f t="shared" si="30"/>
        <v>0</v>
      </c>
      <c r="AC152" s="15">
        <f t="shared" si="28"/>
        <v>220.8195918367347</v>
      </c>
    </row>
    <row r="153" spans="1:29" ht="15.4">
      <c r="A153" s="105" t="s">
        <v>135</v>
      </c>
      <c r="B153" s="53" t="s">
        <v>155</v>
      </c>
      <c r="C153" s="235">
        <v>1</v>
      </c>
      <c r="D153" s="238">
        <v>9.0702947845805001E-2</v>
      </c>
      <c r="E153" s="239">
        <f t="shared" si="29"/>
        <v>6</v>
      </c>
      <c r="F153" s="239">
        <v>212</v>
      </c>
      <c r="G153" s="41">
        <f t="shared" si="26"/>
        <v>212</v>
      </c>
      <c r="H153" s="41">
        <f t="shared" si="27"/>
        <v>0.28843537414965992</v>
      </c>
      <c r="I153" s="42">
        <f t="shared" si="32"/>
        <v>115.37414965986397</v>
      </c>
      <c r="J153" s="6"/>
      <c r="K153" s="9"/>
      <c r="L153" s="3" t="s">
        <v>160</v>
      </c>
      <c r="M153" s="3"/>
      <c r="N153" s="15"/>
      <c r="O153" s="15"/>
      <c r="P153" s="15"/>
      <c r="Q153" s="15"/>
      <c r="R153" s="15"/>
      <c r="S153" s="15"/>
      <c r="T153" s="15"/>
      <c r="U153" s="15"/>
      <c r="V153" s="15"/>
      <c r="W153" s="15"/>
      <c r="X153" s="15"/>
      <c r="Y153" s="15"/>
      <c r="Z153" s="15"/>
      <c r="AA153" s="15"/>
      <c r="AB153" s="15">
        <f t="shared" si="30"/>
        <v>0.55204897959183674</v>
      </c>
      <c r="AC153" s="15">
        <f t="shared" si="28"/>
        <v>115.37414965986397</v>
      </c>
    </row>
    <row r="154" spans="1:29" ht="15.4">
      <c r="A154" s="105" t="s">
        <v>138</v>
      </c>
      <c r="B154" s="53" t="s">
        <v>131</v>
      </c>
      <c r="C154" s="235">
        <v>0.04</v>
      </c>
      <c r="D154" s="238">
        <v>0.72599999999999998</v>
      </c>
      <c r="E154" s="239">
        <f t="shared" si="29"/>
        <v>6</v>
      </c>
      <c r="F154" s="239">
        <v>365</v>
      </c>
      <c r="G154" s="41">
        <f t="shared" si="26"/>
        <v>14.6</v>
      </c>
      <c r="H154" s="41">
        <f t="shared" si="27"/>
        <v>0.158994</v>
      </c>
      <c r="I154" s="42">
        <f t="shared" si="32"/>
        <v>63.5976</v>
      </c>
      <c r="J154" s="6"/>
      <c r="K154" s="9"/>
      <c r="L154" s="3" t="s">
        <v>161</v>
      </c>
      <c r="M154" s="3"/>
      <c r="N154" s="15"/>
      <c r="O154" s="15"/>
      <c r="P154" s="15"/>
      <c r="Q154" s="15"/>
      <c r="R154" s="15"/>
      <c r="S154" s="15"/>
      <c r="T154" s="15"/>
      <c r="U154" s="15"/>
      <c r="V154" s="15"/>
      <c r="W154" s="15"/>
      <c r="X154" s="15"/>
      <c r="Y154" s="15"/>
      <c r="Z154" s="15"/>
      <c r="AA154" s="15"/>
      <c r="AB154" s="15">
        <f t="shared" si="30"/>
        <v>0.28843537414965992</v>
      </c>
      <c r="AC154" s="15">
        <f t="shared" si="28"/>
        <v>63.5976</v>
      </c>
    </row>
    <row r="155" spans="1:29" ht="15.4">
      <c r="A155" s="105" t="s">
        <v>139</v>
      </c>
      <c r="B155" s="53" t="s">
        <v>131</v>
      </c>
      <c r="C155" s="235">
        <v>2.1999999999999999E-2</v>
      </c>
      <c r="D155" s="238">
        <v>0.22700000000000001</v>
      </c>
      <c r="E155" s="239">
        <f t="shared" si="29"/>
        <v>6</v>
      </c>
      <c r="F155" s="239">
        <v>365</v>
      </c>
      <c r="G155" s="41">
        <f t="shared" si="26"/>
        <v>8.0299999999999994</v>
      </c>
      <c r="H155" s="41">
        <f t="shared" si="27"/>
        <v>2.7342150000000003E-2</v>
      </c>
      <c r="I155" s="42">
        <f t="shared" si="32"/>
        <v>10.936860000000001</v>
      </c>
      <c r="J155" s="6"/>
      <c r="K155" s="9"/>
      <c r="L155" s="3" t="s">
        <v>162</v>
      </c>
      <c r="M155" s="3"/>
      <c r="N155" s="15"/>
      <c r="O155" s="15"/>
      <c r="P155" s="15"/>
      <c r="Q155" s="15"/>
      <c r="R155" s="15"/>
      <c r="S155" s="15"/>
      <c r="T155" s="15"/>
      <c r="U155" s="15"/>
      <c r="V155" s="15"/>
      <c r="W155" s="15"/>
      <c r="X155" s="15"/>
      <c r="Y155" s="15"/>
      <c r="Z155" s="15"/>
      <c r="AA155" s="15"/>
      <c r="AB155" s="15">
        <f t="shared" si="30"/>
        <v>0.158994</v>
      </c>
      <c r="AC155" s="15">
        <f t="shared" si="28"/>
        <v>10.936860000000001</v>
      </c>
    </row>
    <row r="156" spans="1:29" ht="15.4">
      <c r="A156" s="34" t="s">
        <v>131</v>
      </c>
      <c r="B156" s="23"/>
      <c r="C156" s="23"/>
      <c r="D156" s="23"/>
      <c r="E156" s="23"/>
      <c r="F156" s="32"/>
      <c r="G156" s="32"/>
      <c r="H156" s="36" t="s">
        <v>114</v>
      </c>
      <c r="I156" s="39" t="s">
        <v>123</v>
      </c>
      <c r="J156" s="1"/>
      <c r="K156" s="3"/>
      <c r="L156" s="3" t="s">
        <v>163</v>
      </c>
      <c r="M156" s="3"/>
      <c r="N156" s="15"/>
      <c r="O156" s="15"/>
      <c r="P156" s="15"/>
      <c r="Q156" s="15"/>
      <c r="R156" s="15"/>
      <c r="S156" s="15"/>
      <c r="T156" s="15"/>
      <c r="U156" s="15"/>
      <c r="V156" s="15"/>
      <c r="W156" s="15"/>
      <c r="X156" s="15"/>
      <c r="Y156" s="15"/>
      <c r="Z156" s="15"/>
      <c r="AA156" s="15"/>
      <c r="AB156" s="15">
        <f t="shared" si="30"/>
        <v>2.7342150000000003E-2</v>
      </c>
    </row>
    <row r="157" spans="1:29" ht="15.4">
      <c r="A157" s="136" t="s">
        <v>164</v>
      </c>
      <c r="B157" s="137"/>
      <c r="C157" s="137"/>
      <c r="D157" s="137"/>
      <c r="E157" s="137"/>
      <c r="F157" s="138"/>
      <c r="G157" s="138"/>
      <c r="H157" s="149">
        <f ca="1">AB164</f>
        <v>303.52489284939816</v>
      </c>
      <c r="I157" s="139">
        <f ca="1">AB165</f>
        <v>121409.95713975927</v>
      </c>
      <c r="J157" s="6"/>
      <c r="K157" s="3"/>
      <c r="L157" s="3"/>
      <c r="M157" s="3"/>
      <c r="N157" s="15"/>
      <c r="O157" s="15">
        <f ca="1">H157/D238</f>
        <v>0.54014444531643635</v>
      </c>
      <c r="P157" s="15"/>
      <c r="Q157" s="15"/>
      <c r="R157" s="15"/>
      <c r="S157" s="15"/>
      <c r="T157" s="15"/>
      <c r="U157" s="15"/>
      <c r="V157" s="15"/>
      <c r="W157" s="15"/>
      <c r="X157" s="15"/>
      <c r="Y157" s="15"/>
      <c r="Z157" s="15"/>
      <c r="AA157" s="15"/>
    </row>
    <row r="158" spans="1:29" ht="15.4">
      <c r="A158" s="34"/>
      <c r="B158" s="23"/>
      <c r="C158" s="23"/>
      <c r="D158" s="23"/>
      <c r="E158" s="23"/>
      <c r="F158" s="32"/>
      <c r="G158" s="32"/>
      <c r="H158" s="31"/>
      <c r="I158" s="30"/>
      <c r="J158" s="6"/>
      <c r="K158" s="4"/>
      <c r="L158" s="3"/>
      <c r="M158" s="3"/>
      <c r="N158" s="15"/>
      <c r="O158" s="15"/>
      <c r="P158" s="15"/>
      <c r="Q158" s="15"/>
      <c r="R158" s="15"/>
      <c r="S158" s="15"/>
      <c r="T158" s="15"/>
      <c r="U158" s="15"/>
      <c r="V158" s="15"/>
      <c r="W158" s="15"/>
      <c r="X158" s="15"/>
      <c r="Y158" s="15"/>
      <c r="Z158" s="15"/>
      <c r="AA158" s="15"/>
    </row>
    <row r="159" spans="1:29" ht="15.4">
      <c r="A159" s="140" t="s">
        <v>165</v>
      </c>
      <c r="B159" s="141"/>
      <c r="C159" s="141"/>
      <c r="D159" s="141"/>
      <c r="E159" s="141"/>
      <c r="F159" s="141"/>
      <c r="G159" s="141"/>
      <c r="H159" s="141"/>
      <c r="I159" s="142"/>
      <c r="J159" s="6"/>
      <c r="K159" s="3">
        <f ca="1">AB223</f>
        <v>4664</v>
      </c>
      <c r="L159" s="3" t="s">
        <v>166</v>
      </c>
      <c r="M159" s="3"/>
      <c r="N159" s="15"/>
      <c r="O159" s="15"/>
      <c r="P159" s="15"/>
      <c r="Q159" s="15"/>
      <c r="R159" s="15"/>
      <c r="S159" s="15"/>
      <c r="T159" s="15"/>
      <c r="U159" s="15"/>
      <c r="V159" s="15"/>
      <c r="W159" s="15"/>
      <c r="X159" s="15"/>
      <c r="Y159" s="15"/>
      <c r="Z159" s="15"/>
      <c r="AA159" s="15"/>
    </row>
    <row r="160" spans="1:29" ht="15.4">
      <c r="A160" s="226"/>
      <c r="B160" s="118"/>
      <c r="C160" s="118"/>
      <c r="D160" s="118"/>
      <c r="E160" s="118"/>
      <c r="F160" s="118"/>
      <c r="G160" s="118"/>
      <c r="H160" s="36" t="s">
        <v>103</v>
      </c>
      <c r="I160" s="39" t="s">
        <v>167</v>
      </c>
      <c r="J160" s="1"/>
      <c r="K160" s="3"/>
      <c r="L160" s="3"/>
      <c r="M160" s="3"/>
      <c r="N160" s="15"/>
      <c r="O160" s="15"/>
      <c r="P160" s="15"/>
      <c r="Q160" s="15"/>
      <c r="R160" s="15"/>
      <c r="S160" s="15"/>
      <c r="T160" s="15"/>
      <c r="U160" s="15"/>
      <c r="V160" s="15"/>
      <c r="W160" s="15"/>
      <c r="X160" s="15"/>
      <c r="Y160" s="15"/>
      <c r="Z160" s="15"/>
      <c r="AA160" s="15"/>
    </row>
    <row r="161" spans="1:28" ht="15.4">
      <c r="A161" s="121"/>
      <c r="B161" s="118"/>
      <c r="C161" s="204" t="s">
        <v>168</v>
      </c>
      <c r="D161" s="204" t="s">
        <v>169</v>
      </c>
      <c r="E161" s="118"/>
      <c r="F161" s="118"/>
      <c r="G161" s="118"/>
      <c r="H161" s="36"/>
      <c r="I161" s="39"/>
      <c r="J161" s="1"/>
      <c r="K161" s="3"/>
      <c r="L161" s="3"/>
      <c r="M161" s="3"/>
      <c r="N161" s="15"/>
      <c r="O161" s="15"/>
      <c r="P161" s="15"/>
      <c r="Q161" s="15"/>
      <c r="R161" s="15"/>
      <c r="S161" s="15"/>
      <c r="T161" s="15"/>
      <c r="U161" s="15"/>
      <c r="V161" s="15"/>
      <c r="W161" s="15"/>
      <c r="X161" s="15"/>
      <c r="Y161" s="15"/>
      <c r="Z161" s="15"/>
      <c r="AA161" s="15"/>
    </row>
    <row r="162" spans="1:28" ht="15.4">
      <c r="A162" s="121" t="s">
        <v>170</v>
      </c>
      <c r="B162" s="118"/>
      <c r="C162" s="44">
        <v>1</v>
      </c>
      <c r="D162" s="40">
        <v>300</v>
      </c>
      <c r="E162" s="118"/>
      <c r="F162" s="118"/>
      <c r="G162" s="118"/>
      <c r="H162" s="206">
        <f>I162/E5</f>
        <v>0.75</v>
      </c>
      <c r="I162" s="203">
        <f>D162*C162</f>
        <v>300</v>
      </c>
      <c r="J162" s="6"/>
      <c r="K162" s="3"/>
      <c r="L162" s="3"/>
      <c r="M162" s="3"/>
      <c r="N162" s="15"/>
      <c r="O162" s="15"/>
      <c r="P162" s="15"/>
      <c r="Q162" s="15"/>
      <c r="R162" s="15"/>
      <c r="S162" s="15"/>
      <c r="T162" s="15"/>
      <c r="U162" s="15"/>
      <c r="V162" s="15"/>
      <c r="W162" s="15"/>
      <c r="X162" s="15"/>
      <c r="Y162" s="15"/>
      <c r="Z162" s="15"/>
      <c r="AA162" s="15"/>
    </row>
    <row r="163" spans="1:28" ht="15.4">
      <c r="A163" s="121"/>
      <c r="B163" s="118"/>
      <c r="C163" s="118"/>
      <c r="D163" s="118"/>
      <c r="E163" s="118"/>
      <c r="F163" s="118"/>
      <c r="G163" s="118"/>
      <c r="H163" s="36"/>
      <c r="I163" s="39"/>
      <c r="J163" s="6"/>
      <c r="K163" s="3"/>
      <c r="L163" s="3"/>
      <c r="M163" s="3"/>
      <c r="N163" s="15"/>
      <c r="O163" s="15"/>
      <c r="P163" s="15"/>
      <c r="Q163" s="15"/>
      <c r="R163" s="15"/>
      <c r="S163" s="15"/>
      <c r="T163" s="15"/>
      <c r="U163" s="15"/>
      <c r="V163" s="15"/>
      <c r="W163" s="15"/>
      <c r="X163" s="15"/>
      <c r="Y163" s="15"/>
      <c r="Z163" s="15"/>
      <c r="AA163" s="15"/>
    </row>
    <row r="164" spans="1:28" ht="30.95">
      <c r="A164" s="125" t="s">
        <v>171</v>
      </c>
      <c r="B164" s="122"/>
      <c r="C164" s="123" t="s">
        <v>172</v>
      </c>
      <c r="D164" s="124" t="s">
        <v>173</v>
      </c>
      <c r="E164" s="124" t="s">
        <v>174</v>
      </c>
      <c r="F164" s="124" t="s">
        <v>127</v>
      </c>
      <c r="G164" s="124" t="s">
        <v>175</v>
      </c>
      <c r="H164" s="41" t="s">
        <v>122</v>
      </c>
      <c r="I164" s="55" t="s">
        <v>123</v>
      </c>
      <c r="J164" s="6"/>
      <c r="K164" s="3"/>
      <c r="L164" s="3"/>
      <c r="M164" s="3"/>
      <c r="N164" s="15"/>
      <c r="O164" s="15"/>
      <c r="P164" s="15"/>
      <c r="Q164" s="15"/>
      <c r="R164" s="15"/>
      <c r="S164" s="15"/>
      <c r="T164" s="15"/>
      <c r="U164" s="15"/>
      <c r="V164" s="15"/>
      <c r="W164" s="15"/>
      <c r="X164" s="15"/>
      <c r="Y164" s="15"/>
      <c r="Z164" s="15"/>
      <c r="AA164" s="15"/>
      <c r="AB164" s="15">
        <f ca="1">I157/E5</f>
        <v>303.52489284939816</v>
      </c>
    </row>
    <row r="165" spans="1:28" ht="15.4">
      <c r="A165" s="126" t="s">
        <v>176</v>
      </c>
      <c r="B165" s="127"/>
      <c r="C165" s="40">
        <v>2</v>
      </c>
      <c r="D165" s="130">
        <v>17.5</v>
      </c>
      <c r="E165" s="109">
        <v>0.17</v>
      </c>
      <c r="F165" s="239">
        <f>E5*G165</f>
        <v>320</v>
      </c>
      <c r="G165" s="240">
        <v>0.8</v>
      </c>
      <c r="H165" s="147">
        <f>I165/$E$5</f>
        <v>4.76</v>
      </c>
      <c r="I165" s="189">
        <f>C165*D165*E165*F165</f>
        <v>1904</v>
      </c>
      <c r="J165" s="6"/>
      <c r="K165" s="3"/>
      <c r="L165" s="3"/>
      <c r="M165" s="3"/>
      <c r="N165" s="15"/>
      <c r="O165" s="15"/>
      <c r="P165" s="15"/>
      <c r="Q165" s="15"/>
      <c r="R165" s="15"/>
      <c r="S165" s="15"/>
      <c r="T165" s="15"/>
      <c r="U165" s="15"/>
      <c r="V165" s="15"/>
      <c r="W165" s="15"/>
      <c r="X165" s="15"/>
      <c r="Y165" s="15"/>
      <c r="Z165" s="15"/>
      <c r="AA165" s="15"/>
      <c r="AB165" s="17">
        <f ca="1">SUM(I54:I155)</f>
        <v>121409.95713975927</v>
      </c>
    </row>
    <row r="166" spans="1:28" ht="15.4">
      <c r="A166" s="126" t="s">
        <v>177</v>
      </c>
      <c r="B166" s="127"/>
      <c r="C166" s="40">
        <v>1</v>
      </c>
      <c r="D166" s="130">
        <v>25</v>
      </c>
      <c r="E166" s="109">
        <v>0.17</v>
      </c>
      <c r="F166" s="239">
        <f>E11*G166</f>
        <v>4.8000000000000007</v>
      </c>
      <c r="G166" s="240">
        <v>0.8</v>
      </c>
      <c r="H166" s="147">
        <f>I166/$E$5</f>
        <v>4.080000000000001E-2</v>
      </c>
      <c r="I166" s="189">
        <f>C166*D166*E166*F166*G166</f>
        <v>16.320000000000004</v>
      </c>
      <c r="J166" s="6"/>
      <c r="K166" s="3"/>
      <c r="L166" s="3"/>
      <c r="M166" s="3"/>
      <c r="N166" s="15"/>
      <c r="O166" s="15"/>
      <c r="P166" s="15"/>
      <c r="Q166" s="15"/>
      <c r="R166" s="15"/>
      <c r="S166" s="15"/>
      <c r="T166" s="15"/>
      <c r="U166" s="15"/>
      <c r="V166" s="15"/>
      <c r="W166" s="15"/>
      <c r="X166" s="15"/>
      <c r="Y166" s="15"/>
      <c r="Z166" s="15"/>
      <c r="AA166" s="15"/>
      <c r="AB166" s="15">
        <f>(E187*F187)/F47</f>
        <v>3.5</v>
      </c>
    </row>
    <row r="167" spans="1:28" ht="15.4">
      <c r="A167" s="126" t="s">
        <v>178</v>
      </c>
      <c r="B167" s="127"/>
      <c r="C167" s="40">
        <v>1.5</v>
      </c>
      <c r="D167" s="130">
        <v>2</v>
      </c>
      <c r="E167" s="109">
        <v>1.25</v>
      </c>
      <c r="F167" s="239">
        <f>E5</f>
        <v>400</v>
      </c>
      <c r="G167" s="118"/>
      <c r="H167" s="147">
        <f>I167/$E$5</f>
        <v>3.75</v>
      </c>
      <c r="I167" s="189">
        <f>C167*D167*E167*F167</f>
        <v>1500</v>
      </c>
      <c r="J167" s="6"/>
      <c r="K167" s="3"/>
      <c r="L167" s="3"/>
      <c r="M167" s="3"/>
      <c r="N167" s="15"/>
      <c r="O167" s="15"/>
      <c r="P167" s="15"/>
      <c r="Q167" s="15"/>
      <c r="R167" s="15"/>
      <c r="S167" s="15"/>
      <c r="T167" s="15"/>
      <c r="U167" s="15"/>
      <c r="V167" s="15"/>
      <c r="W167" s="15"/>
      <c r="X167" s="15"/>
      <c r="Y167" s="15"/>
      <c r="Z167" s="15"/>
      <c r="AA167" s="15"/>
      <c r="AB167" s="15">
        <f>H187*E5</f>
        <v>1400</v>
      </c>
    </row>
    <row r="168" spans="1:28" ht="15.4">
      <c r="A168" s="126" t="s">
        <v>179</v>
      </c>
      <c r="B168" s="127"/>
      <c r="C168" s="40">
        <v>1</v>
      </c>
      <c r="D168" s="130">
        <v>2</v>
      </c>
      <c r="E168" s="109">
        <v>1.25</v>
      </c>
      <c r="F168" s="239">
        <f>E11</f>
        <v>6</v>
      </c>
      <c r="G168" s="118"/>
      <c r="H168" s="147">
        <f>I168/$E$5</f>
        <v>3.7499999999999999E-2</v>
      </c>
      <c r="I168" s="189">
        <f>C168*D168*E168*F168</f>
        <v>15</v>
      </c>
      <c r="J168" s="6"/>
      <c r="K168" s="3"/>
      <c r="L168" s="3"/>
      <c r="M168" s="3"/>
      <c r="N168" s="15"/>
      <c r="O168" s="15"/>
      <c r="P168" s="15"/>
      <c r="Q168" s="15"/>
      <c r="R168" s="15"/>
      <c r="S168" s="15"/>
      <c r="T168" s="15"/>
      <c r="U168" s="15"/>
      <c r="V168" s="15"/>
      <c r="W168" s="15"/>
      <c r="X168" s="15"/>
      <c r="Y168" s="15"/>
      <c r="Z168" s="15"/>
      <c r="AA168" s="15"/>
      <c r="AB168" s="15">
        <f>(E188*F188)/F47</f>
        <v>0</v>
      </c>
    </row>
    <row r="169" spans="1:28" ht="15.4">
      <c r="A169" s="126" t="s">
        <v>180</v>
      </c>
      <c r="B169" s="127"/>
      <c r="C169" s="40">
        <v>0</v>
      </c>
      <c r="D169" s="130">
        <v>0</v>
      </c>
      <c r="E169" s="109">
        <v>0</v>
      </c>
      <c r="F169" s="239">
        <v>0</v>
      </c>
      <c r="G169" s="118"/>
      <c r="H169" s="147">
        <f>I169/$E$5</f>
        <v>0</v>
      </c>
      <c r="I169" s="189">
        <f>C169*D169*E169*F169</f>
        <v>0</v>
      </c>
      <c r="J169" s="6"/>
      <c r="K169" s="3"/>
      <c r="L169" s="3" t="s">
        <v>181</v>
      </c>
      <c r="M169" s="3"/>
      <c r="N169" s="15"/>
      <c r="O169" s="15"/>
      <c r="P169" s="15"/>
      <c r="Q169" s="15"/>
      <c r="R169" s="15"/>
      <c r="S169" s="15"/>
      <c r="T169" s="15"/>
      <c r="U169" s="15"/>
      <c r="V169" s="15"/>
      <c r="W169" s="15"/>
      <c r="X169" s="15"/>
      <c r="Y169" s="15"/>
      <c r="Z169" s="15"/>
      <c r="AA169" s="15"/>
      <c r="AB169" s="15">
        <f>H188*E5</f>
        <v>0</v>
      </c>
    </row>
    <row r="170" spans="1:28" ht="15.4">
      <c r="A170" s="128" t="s">
        <v>182</v>
      </c>
      <c r="B170" s="118"/>
      <c r="C170" s="129"/>
      <c r="D170" s="118"/>
      <c r="E170" s="118"/>
      <c r="F170" s="118"/>
      <c r="G170" s="118"/>
      <c r="H170" s="147"/>
      <c r="I170" s="189">
        <f>SUM(I165:I169)</f>
        <v>3435.3199999999997</v>
      </c>
      <c r="J170" s="6"/>
      <c r="K170" s="3"/>
      <c r="L170" s="3" t="s">
        <v>183</v>
      </c>
      <c r="M170" s="3"/>
      <c r="N170" s="15"/>
      <c r="O170" s="15"/>
      <c r="P170" s="15"/>
      <c r="Q170" s="15"/>
      <c r="R170" s="15"/>
      <c r="S170" s="15"/>
      <c r="T170" s="15"/>
      <c r="U170" s="15"/>
      <c r="V170" s="15"/>
      <c r="W170" s="15"/>
      <c r="X170" s="15"/>
      <c r="Y170" s="15"/>
      <c r="Z170" s="15"/>
      <c r="AA170" s="15"/>
      <c r="AB170" s="15">
        <f>(E189*F189)/F47</f>
        <v>0</v>
      </c>
    </row>
    <row r="171" spans="1:28" ht="15.4">
      <c r="A171" s="121"/>
      <c r="B171" s="118"/>
      <c r="C171" s="118"/>
      <c r="D171" s="118"/>
      <c r="E171" s="118"/>
      <c r="F171" s="118"/>
      <c r="G171" s="118"/>
      <c r="H171" s="147"/>
      <c r="I171" s="192"/>
      <c r="J171" s="6"/>
      <c r="K171" s="3"/>
      <c r="L171" s="3" t="s">
        <v>184</v>
      </c>
      <c r="M171" s="3"/>
      <c r="N171" s="15"/>
      <c r="O171" s="15"/>
      <c r="P171" s="15"/>
      <c r="Q171" s="15"/>
      <c r="R171" s="15"/>
      <c r="S171" s="15"/>
      <c r="T171" s="15"/>
      <c r="U171" s="15"/>
      <c r="V171" s="15"/>
      <c r="W171" s="15"/>
      <c r="X171" s="15"/>
      <c r="Y171" s="15"/>
      <c r="Z171" s="15"/>
      <c r="AA171" s="15"/>
      <c r="AB171" s="15">
        <f>H189*E5</f>
        <v>0</v>
      </c>
    </row>
    <row r="172" spans="1:28" ht="15.4">
      <c r="A172" s="121"/>
      <c r="B172" s="118"/>
      <c r="C172" s="118"/>
      <c r="D172" s="118"/>
      <c r="E172" s="118"/>
      <c r="F172" s="118"/>
      <c r="G172" s="118"/>
      <c r="H172" s="147"/>
      <c r="I172" s="192"/>
      <c r="J172" s="6"/>
      <c r="K172" s="3"/>
      <c r="L172" s="3" t="s">
        <v>185</v>
      </c>
      <c r="M172" s="3"/>
      <c r="N172" s="15"/>
      <c r="O172" s="15"/>
      <c r="P172" s="15"/>
      <c r="Q172" s="15"/>
      <c r="R172" s="15"/>
      <c r="S172" s="15"/>
      <c r="T172" s="15"/>
      <c r="U172" s="15"/>
      <c r="V172" s="15"/>
      <c r="W172" s="15"/>
      <c r="X172" s="15"/>
      <c r="Y172" s="15"/>
      <c r="Z172" s="15"/>
      <c r="AA172" s="15"/>
      <c r="AB172" s="15">
        <f>(E190*F190)/F47</f>
        <v>0</v>
      </c>
    </row>
    <row r="173" spans="1:28" ht="30.95">
      <c r="A173" s="125" t="s">
        <v>124</v>
      </c>
      <c r="B173" s="122"/>
      <c r="C173" s="123" t="s">
        <v>172</v>
      </c>
      <c r="D173" s="124" t="s">
        <v>173</v>
      </c>
      <c r="E173" s="124" t="s">
        <v>174</v>
      </c>
      <c r="F173" s="124" t="s">
        <v>127</v>
      </c>
      <c r="G173" s="124"/>
      <c r="H173" s="146"/>
      <c r="I173" s="190"/>
      <c r="J173" s="6"/>
      <c r="K173" s="3"/>
      <c r="L173" s="3"/>
      <c r="M173" s="3"/>
      <c r="N173" s="15"/>
      <c r="O173" s="15"/>
      <c r="P173" s="15"/>
      <c r="Q173" s="15"/>
      <c r="R173" s="15"/>
      <c r="S173" s="15"/>
      <c r="T173" s="15"/>
      <c r="U173" s="15"/>
      <c r="V173" s="15"/>
      <c r="W173" s="15"/>
      <c r="X173" s="15"/>
      <c r="Y173" s="15"/>
      <c r="Z173" s="15"/>
      <c r="AA173" s="15"/>
      <c r="AB173" s="15">
        <f>H190*E5</f>
        <v>0</v>
      </c>
    </row>
    <row r="174" spans="1:28" ht="15.4">
      <c r="A174" s="126" t="s">
        <v>186</v>
      </c>
      <c r="B174" s="127"/>
      <c r="C174" s="40">
        <v>0</v>
      </c>
      <c r="D174" s="130">
        <v>7.5</v>
      </c>
      <c r="E174" s="109">
        <v>0.09</v>
      </c>
      <c r="F174" s="239">
        <v>0</v>
      </c>
      <c r="G174" s="124"/>
      <c r="H174" s="147">
        <f>I174/$E$5</f>
        <v>0</v>
      </c>
      <c r="I174" s="189">
        <f>C174*D174*E174*F174</f>
        <v>0</v>
      </c>
      <c r="J174" s="6"/>
      <c r="K174" s="3"/>
      <c r="L174" s="3"/>
      <c r="M174" s="3"/>
      <c r="N174" s="15"/>
      <c r="O174" s="15"/>
      <c r="P174" s="15"/>
      <c r="Q174" s="15"/>
      <c r="R174" s="15"/>
      <c r="S174" s="15"/>
      <c r="T174" s="15"/>
      <c r="U174" s="15"/>
      <c r="V174" s="15"/>
      <c r="W174" s="15"/>
      <c r="X174" s="15"/>
      <c r="Y174" s="15"/>
      <c r="Z174" s="15"/>
      <c r="AA174" s="15"/>
      <c r="AB174" s="15" t="str">
        <f>""&amp;FIXED(F47,0,TRUE)&amp;" Ewes"</f>
        <v>400 Ewes</v>
      </c>
    </row>
    <row r="175" spans="1:28" ht="15.4">
      <c r="A175" s="126" t="s">
        <v>187</v>
      </c>
      <c r="B175" s="127"/>
      <c r="C175" s="40">
        <v>2</v>
      </c>
      <c r="D175" s="130">
        <v>3</v>
      </c>
      <c r="E175" s="109">
        <v>0.2</v>
      </c>
      <c r="F175" s="239">
        <f>F29*0.85</f>
        <v>699.06209999999987</v>
      </c>
      <c r="G175" s="124"/>
      <c r="H175" s="147">
        <f>I175/$E$5</f>
        <v>2.0971862999999997</v>
      </c>
      <c r="I175" s="189">
        <f>C175*D175*E175*F175</f>
        <v>838.87451999999996</v>
      </c>
      <c r="J175" s="1"/>
      <c r="K175" s="3"/>
      <c r="L175" s="3"/>
      <c r="M175" s="3"/>
      <c r="N175" s="15"/>
      <c r="O175" s="15"/>
      <c r="P175" s="15"/>
      <c r="Q175" s="15"/>
      <c r="R175" s="15"/>
      <c r="S175" s="15"/>
      <c r="T175" s="15"/>
      <c r="U175" s="15"/>
      <c r="V175" s="15"/>
      <c r="W175" s="15"/>
      <c r="X175" s="15"/>
      <c r="Y175" s="15"/>
      <c r="Z175" s="15"/>
      <c r="AA175" s="15"/>
      <c r="AB175" s="15" t="str">
        <f>" "&amp;FIXED(E5,0,TRUE)&amp;" Ewes"</f>
        <v xml:space="preserve"> 400 Ewes</v>
      </c>
    </row>
    <row r="176" spans="1:28" ht="15.4">
      <c r="A176" s="126" t="s">
        <v>180</v>
      </c>
      <c r="B176" s="127"/>
      <c r="C176" s="40">
        <v>0</v>
      </c>
      <c r="D176" s="130">
        <v>0</v>
      </c>
      <c r="E176" s="109">
        <v>0</v>
      </c>
      <c r="F176" s="239">
        <v>0</v>
      </c>
      <c r="G176" s="124"/>
      <c r="H176" s="147">
        <f>I176/$E$5</f>
        <v>0</v>
      </c>
      <c r="I176" s="189">
        <f>C176*D176*E176*F176</f>
        <v>0</v>
      </c>
      <c r="J176" s="6"/>
      <c r="K176" s="3"/>
      <c r="L176" s="3"/>
      <c r="M176" s="3"/>
      <c r="N176" s="15"/>
      <c r="O176" s="15"/>
      <c r="P176" s="15"/>
      <c r="Q176" s="15"/>
      <c r="R176" s="15"/>
      <c r="S176" s="15"/>
      <c r="T176" s="15"/>
      <c r="U176" s="15"/>
      <c r="V176" s="15"/>
      <c r="W176" s="15"/>
      <c r="X176" s="15"/>
      <c r="Y176" s="15"/>
      <c r="Z176" s="15"/>
      <c r="AA176" s="15"/>
      <c r="AB176" s="15">
        <f>IF(E195=0,F195/F47,E195)</f>
        <v>23</v>
      </c>
    </row>
    <row r="177" spans="1:35" ht="15.4">
      <c r="A177" s="126" t="s">
        <v>188</v>
      </c>
      <c r="B177" s="127"/>
      <c r="C177" s="40">
        <v>1</v>
      </c>
      <c r="D177" s="130">
        <v>1</v>
      </c>
      <c r="E177" s="109">
        <v>0.65</v>
      </c>
      <c r="F177" s="239">
        <v>0</v>
      </c>
      <c r="G177" s="124"/>
      <c r="H177" s="147">
        <f>I177/$E$5</f>
        <v>0</v>
      </c>
      <c r="I177" s="189">
        <f>C177*D177*E177*F177</f>
        <v>0</v>
      </c>
      <c r="J177" s="1"/>
      <c r="K177" s="3"/>
      <c r="L177" s="3"/>
      <c r="M177" s="3"/>
      <c r="N177" s="15"/>
      <c r="O177" s="15"/>
      <c r="P177" s="15"/>
      <c r="Q177" s="15"/>
      <c r="R177" s="15"/>
      <c r="S177" s="15"/>
      <c r="T177" s="15"/>
      <c r="U177" s="15"/>
      <c r="V177" s="15"/>
      <c r="W177" s="15"/>
      <c r="X177" s="15"/>
      <c r="Y177" s="15"/>
      <c r="Z177" s="15"/>
      <c r="AA177" s="15"/>
      <c r="AB177" s="15">
        <f>H195*E5</f>
        <v>9200</v>
      </c>
    </row>
    <row r="178" spans="1:35" ht="15.4">
      <c r="A178" s="126" t="s">
        <v>189</v>
      </c>
      <c r="B178" s="127"/>
      <c r="C178" s="40">
        <v>0</v>
      </c>
      <c r="D178" s="130">
        <v>0</v>
      </c>
      <c r="E178" s="109">
        <v>0</v>
      </c>
      <c r="F178" s="239">
        <v>0</v>
      </c>
      <c r="G178" s="124"/>
      <c r="H178" s="147">
        <f>I178/$E$5</f>
        <v>0</v>
      </c>
      <c r="I178" s="189">
        <f>C178*D178*E178*F178</f>
        <v>0</v>
      </c>
      <c r="J178" s="6"/>
      <c r="K178" s="9"/>
      <c r="L178" s="3"/>
      <c r="M178" s="3"/>
      <c r="N178" s="15"/>
      <c r="O178" s="15"/>
      <c r="P178" s="15"/>
      <c r="Q178" s="15"/>
      <c r="R178" s="15"/>
      <c r="S178" s="15"/>
      <c r="T178" s="15"/>
      <c r="U178" s="15"/>
      <c r="V178" s="15"/>
      <c r="W178" s="15"/>
      <c r="X178" s="15"/>
      <c r="Y178" s="15"/>
      <c r="Z178" s="15"/>
      <c r="AA178" s="15"/>
      <c r="AB178" s="15">
        <f>IF(E196=0,F196/F47,E196*D196)</f>
        <v>7</v>
      </c>
    </row>
    <row r="179" spans="1:35" ht="15.4">
      <c r="A179" s="128" t="s">
        <v>190</v>
      </c>
      <c r="B179" s="122"/>
      <c r="C179" s="129"/>
      <c r="D179" s="118"/>
      <c r="E179" s="118"/>
      <c r="F179" s="118"/>
      <c r="G179" s="118"/>
      <c r="H179" s="147"/>
      <c r="I179" s="189">
        <v>1137.6000000000001</v>
      </c>
      <c r="J179" s="6"/>
      <c r="K179" s="9"/>
      <c r="L179" s="3"/>
      <c r="M179" s="3"/>
      <c r="N179" s="15"/>
      <c r="O179" s="15"/>
      <c r="P179" s="15"/>
      <c r="Q179" s="15"/>
      <c r="R179" s="15"/>
      <c r="S179" s="15"/>
      <c r="T179" s="15"/>
      <c r="U179" s="15"/>
      <c r="V179" s="15"/>
      <c r="W179" s="15"/>
      <c r="X179" s="15"/>
      <c r="Y179" s="15"/>
      <c r="Z179" s="15"/>
      <c r="AA179" s="15"/>
      <c r="AB179" s="15">
        <f>H196*E5</f>
        <v>2800</v>
      </c>
    </row>
    <row r="180" spans="1:35" ht="30.95">
      <c r="A180" s="121"/>
      <c r="B180" s="118"/>
      <c r="C180" s="123" t="s">
        <v>172</v>
      </c>
      <c r="D180" s="124" t="s">
        <v>173</v>
      </c>
      <c r="E180" s="124" t="s">
        <v>174</v>
      </c>
      <c r="F180" s="124" t="s">
        <v>127</v>
      </c>
      <c r="G180" s="124"/>
      <c r="H180" s="146"/>
      <c r="I180" s="190"/>
      <c r="J180" s="6"/>
      <c r="K180" s="3"/>
      <c r="L180" s="3"/>
      <c r="M180" s="3"/>
      <c r="N180" s="15"/>
      <c r="O180" s="15"/>
      <c r="P180" s="15"/>
      <c r="Q180" s="15"/>
      <c r="R180" s="15"/>
      <c r="S180" s="15"/>
      <c r="T180" s="15"/>
      <c r="U180" s="15"/>
      <c r="V180" s="15"/>
      <c r="W180" s="15"/>
      <c r="X180" s="15"/>
      <c r="Y180" s="15"/>
      <c r="Z180" s="15"/>
      <c r="AA180" s="15"/>
      <c r="AB180" s="15">
        <f>IF(E197=0,F197/F47,E197)</f>
        <v>0</v>
      </c>
    </row>
    <row r="181" spans="1:35" ht="15.4">
      <c r="A181" s="126" t="s">
        <v>191</v>
      </c>
      <c r="B181" s="127"/>
      <c r="C181" s="40">
        <v>1</v>
      </c>
      <c r="D181" s="130">
        <v>1</v>
      </c>
      <c r="E181" s="109">
        <v>41.05</v>
      </c>
      <c r="F181" s="44">
        <v>1</v>
      </c>
      <c r="G181" s="124"/>
      <c r="H181" s="147">
        <f>I181/$E$5</f>
        <v>0.10262499999999999</v>
      </c>
      <c r="I181" s="189">
        <f>C181*D181*E181*F181</f>
        <v>41.05</v>
      </c>
      <c r="J181" s="6"/>
      <c r="K181" s="3"/>
      <c r="L181" s="3"/>
      <c r="M181" s="3"/>
      <c r="N181" s="15"/>
      <c r="O181" s="15"/>
      <c r="P181" s="15"/>
      <c r="Q181" s="15"/>
      <c r="R181" s="15"/>
      <c r="S181" s="15"/>
      <c r="T181" s="15"/>
      <c r="U181" s="15"/>
      <c r="V181" s="15"/>
      <c r="W181" s="15"/>
      <c r="X181" s="15"/>
      <c r="Y181" s="15"/>
      <c r="Z181" s="15"/>
      <c r="AA181" s="15"/>
      <c r="AB181" s="15">
        <f>H197*E5</f>
        <v>0</v>
      </c>
    </row>
    <row r="182" spans="1:35" ht="15.4">
      <c r="A182" s="121"/>
      <c r="B182" s="118"/>
      <c r="C182" s="118"/>
      <c r="D182" s="118"/>
      <c r="E182" s="118"/>
      <c r="F182" s="118"/>
      <c r="G182" s="118"/>
      <c r="H182" s="147"/>
      <c r="I182" s="192"/>
      <c r="J182" s="6"/>
      <c r="K182" s="3"/>
      <c r="L182" s="3"/>
      <c r="M182" s="3"/>
      <c r="N182" s="15"/>
      <c r="O182" s="15"/>
      <c r="P182" s="15"/>
      <c r="Q182" s="15"/>
      <c r="R182" s="15"/>
      <c r="S182" s="15"/>
      <c r="T182" s="15"/>
      <c r="U182" s="15"/>
      <c r="V182" s="15"/>
      <c r="W182" s="15"/>
      <c r="X182" s="15"/>
      <c r="Y182" s="15"/>
      <c r="Z182" s="15"/>
      <c r="AA182" s="15"/>
      <c r="AB182" s="15">
        <f>IF(E209=0,F209/F47,(E209*(E40+E39+E38+E37+E36+E35)/E5))</f>
        <v>5.3823222499999996</v>
      </c>
    </row>
    <row r="183" spans="1:35" ht="15.4">
      <c r="A183" s="143" t="s">
        <v>192</v>
      </c>
      <c r="B183" s="144"/>
      <c r="C183" s="145"/>
      <c r="D183" s="144"/>
      <c r="E183" s="144"/>
      <c r="F183" s="144"/>
      <c r="G183" s="144"/>
      <c r="H183" s="148">
        <f>I183/E5</f>
        <v>12.284925000000001</v>
      </c>
      <c r="I183" s="191">
        <f>SUM(I170,I179,I181,I162)</f>
        <v>4913.97</v>
      </c>
      <c r="J183" s="6"/>
      <c r="K183" s="9"/>
      <c r="L183" s="3"/>
      <c r="M183" s="3"/>
      <c r="N183" s="15">
        <f>H183/D238</f>
        <v>2.186191036124166E-2</v>
      </c>
      <c r="O183" s="15"/>
      <c r="P183" s="15"/>
      <c r="Q183" s="15"/>
      <c r="R183" s="15"/>
      <c r="S183" s="15"/>
      <c r="T183" s="15"/>
      <c r="U183" s="15"/>
      <c r="V183" s="15"/>
      <c r="W183" s="15"/>
      <c r="X183" s="15"/>
      <c r="Y183" s="15"/>
      <c r="Z183" s="15"/>
      <c r="AA183" s="15"/>
      <c r="AB183" s="15">
        <f>H209*E5</f>
        <v>2152.9288999999999</v>
      </c>
    </row>
    <row r="184" spans="1:35" ht="15.4">
      <c r="A184" s="116"/>
      <c r="B184" s="117"/>
      <c r="C184" s="122"/>
      <c r="D184" s="117"/>
      <c r="E184" s="117"/>
      <c r="F184" s="117"/>
      <c r="G184" s="117"/>
      <c r="H184" s="117"/>
      <c r="I184" s="119"/>
      <c r="J184" s="6"/>
      <c r="K184" s="9"/>
      <c r="L184" s="9"/>
      <c r="M184" s="3"/>
      <c r="N184" s="15"/>
      <c r="O184" s="15"/>
      <c r="P184" s="15"/>
      <c r="Q184" s="15"/>
      <c r="R184" s="15"/>
      <c r="S184" s="15"/>
      <c r="T184" s="15"/>
      <c r="U184" s="15"/>
      <c r="V184" s="15"/>
      <c r="W184" s="15"/>
      <c r="X184" s="15"/>
      <c r="Y184" s="15"/>
      <c r="Z184" s="15"/>
      <c r="AA184" s="15"/>
      <c r="AB184" s="15">
        <f>IF(E198=0,F198/F47,E198)</f>
        <v>0</v>
      </c>
    </row>
    <row r="185" spans="1:35" ht="15.4">
      <c r="A185" s="34"/>
      <c r="B185" s="23"/>
      <c r="C185" s="23"/>
      <c r="D185" s="23"/>
      <c r="E185" s="36" t="s">
        <v>101</v>
      </c>
      <c r="F185" s="36" t="s">
        <v>102</v>
      </c>
      <c r="G185" s="36"/>
      <c r="H185" s="36" t="s">
        <v>103</v>
      </c>
      <c r="I185" s="39" t="s">
        <v>167</v>
      </c>
      <c r="J185" s="6"/>
      <c r="K185" s="9"/>
      <c r="L185" s="9"/>
      <c r="M185" s="3"/>
      <c r="N185" s="15"/>
      <c r="O185" s="15"/>
      <c r="P185" s="15"/>
      <c r="Q185" s="15"/>
      <c r="R185" s="15"/>
      <c r="S185" s="15"/>
      <c r="T185" s="15"/>
      <c r="U185" s="15"/>
      <c r="V185" s="15"/>
      <c r="W185" s="15"/>
      <c r="X185" s="15"/>
      <c r="Y185" s="15"/>
      <c r="Z185" s="15"/>
      <c r="AA185" s="15"/>
      <c r="AB185" s="15">
        <f>H198*E5</f>
        <v>0</v>
      </c>
    </row>
    <row r="186" spans="1:35" ht="15.4">
      <c r="A186" s="26" t="s">
        <v>193</v>
      </c>
      <c r="B186" s="23"/>
      <c r="C186" s="23"/>
      <c r="D186" s="23"/>
      <c r="E186" s="36" t="s">
        <v>194</v>
      </c>
      <c r="F186" s="41" t="s">
        <v>195</v>
      </c>
      <c r="G186" s="41"/>
      <c r="H186" s="41" t="s">
        <v>122</v>
      </c>
      <c r="I186" s="55" t="s">
        <v>123</v>
      </c>
      <c r="J186" s="6"/>
      <c r="K186" s="9"/>
      <c r="L186" s="9"/>
      <c r="M186" s="3"/>
      <c r="N186" s="15"/>
      <c r="O186" s="15"/>
      <c r="P186" s="15"/>
      <c r="Q186" s="15"/>
      <c r="R186" s="15"/>
      <c r="S186" s="15"/>
      <c r="T186" s="15"/>
      <c r="U186" s="15"/>
      <c r="V186" s="15"/>
      <c r="W186" s="15"/>
      <c r="X186" s="15"/>
      <c r="Y186" s="15"/>
      <c r="Z186" s="15"/>
      <c r="AA186" s="15"/>
      <c r="AB186" s="15">
        <f>IF(E204=0,F204/F47,E204)</f>
        <v>15</v>
      </c>
    </row>
    <row r="187" spans="1:35" ht="15.4">
      <c r="A187" s="26" t="s">
        <v>196</v>
      </c>
      <c r="B187" s="23"/>
      <c r="C187" s="23"/>
      <c r="D187" s="23"/>
      <c r="E187" s="29">
        <v>2</v>
      </c>
      <c r="F187" s="29">
        <v>700</v>
      </c>
      <c r="G187" s="41"/>
      <c r="H187" s="41">
        <f>AB166</f>
        <v>3.5</v>
      </c>
      <c r="I187" s="42">
        <f>AB167</f>
        <v>1400</v>
      </c>
      <c r="J187" s="6"/>
      <c r="K187" s="9"/>
      <c r="L187" s="9"/>
      <c r="M187" s="3"/>
      <c r="N187" s="15"/>
      <c r="O187" s="15"/>
      <c r="P187" s="15"/>
      <c r="Q187" s="15"/>
      <c r="R187" s="15"/>
      <c r="S187" s="15"/>
      <c r="T187" s="15"/>
      <c r="U187" s="15"/>
      <c r="V187" s="15"/>
      <c r="W187" s="15"/>
      <c r="X187" s="15"/>
      <c r="Y187" s="15"/>
      <c r="Z187" s="15"/>
      <c r="AA187" s="15"/>
      <c r="AB187" s="15">
        <f>H204*E5</f>
        <v>6000</v>
      </c>
    </row>
    <row r="188" spans="1:35" ht="15.4">
      <c r="A188" s="26" t="s">
        <v>197</v>
      </c>
      <c r="B188" s="23"/>
      <c r="C188" s="23"/>
      <c r="D188" s="23"/>
      <c r="E188" s="29">
        <v>0</v>
      </c>
      <c r="F188" s="29">
        <v>0</v>
      </c>
      <c r="G188" s="41"/>
      <c r="H188" s="41">
        <f>AB168</f>
        <v>0</v>
      </c>
      <c r="I188" s="42">
        <f>AB169</f>
        <v>0</v>
      </c>
      <c r="J188" s="6"/>
      <c r="K188" s="4">
        <f ca="1">AB291</f>
        <v>234919.20019975927</v>
      </c>
      <c r="L188" s="9"/>
      <c r="M188" s="3"/>
      <c r="N188" s="15"/>
      <c r="O188" s="15"/>
      <c r="P188" s="15"/>
      <c r="Q188" s="15"/>
      <c r="R188" s="15"/>
      <c r="S188" s="15"/>
      <c r="T188" s="15"/>
      <c r="U188" s="15"/>
      <c r="V188" s="15"/>
      <c r="W188" s="15"/>
      <c r="X188" s="15"/>
      <c r="Y188" s="15"/>
      <c r="Z188" s="15"/>
      <c r="AA188" s="15"/>
      <c r="AB188" s="15">
        <f>IF(E206=0,F206/F47,(E206*(E40+E38+E39)/E5))</f>
        <v>16.248519999999999</v>
      </c>
    </row>
    <row r="189" spans="1:35" ht="15.4">
      <c r="A189" s="26" t="s">
        <v>198</v>
      </c>
      <c r="B189" s="23"/>
      <c r="C189" s="23"/>
      <c r="D189" s="23"/>
      <c r="E189" s="29">
        <v>0</v>
      </c>
      <c r="F189" s="29">
        <v>305</v>
      </c>
      <c r="G189" s="41"/>
      <c r="H189" s="41">
        <f>AB170</f>
        <v>0</v>
      </c>
      <c r="I189" s="42">
        <f>AB171</f>
        <v>0</v>
      </c>
      <c r="J189" s="1"/>
      <c r="K189" s="3">
        <f ca="1">AB293</f>
        <v>1.0453650474220944</v>
      </c>
      <c r="L189" s="3"/>
      <c r="M189" s="3"/>
      <c r="N189" s="15"/>
      <c r="O189" s="15"/>
      <c r="P189" s="15"/>
      <c r="Q189" s="15"/>
      <c r="R189" s="15"/>
      <c r="S189" s="15"/>
      <c r="T189" s="15"/>
      <c r="U189" s="15"/>
      <c r="V189" s="15"/>
      <c r="W189" s="15"/>
      <c r="X189" s="15"/>
      <c r="Y189" s="15"/>
      <c r="Z189" s="15"/>
      <c r="AA189" s="15"/>
      <c r="AB189" s="15">
        <f>H206*E5</f>
        <v>6499.4079999999994</v>
      </c>
    </row>
    <row r="190" spans="1:35" ht="15.4">
      <c r="A190" s="26" t="s">
        <v>199</v>
      </c>
      <c r="B190" s="23"/>
      <c r="C190" s="23"/>
      <c r="D190" s="23"/>
      <c r="E190" s="29">
        <v>0</v>
      </c>
      <c r="F190" s="29">
        <v>0</v>
      </c>
      <c r="G190" s="41"/>
      <c r="H190" s="41">
        <f>AB172</f>
        <v>0</v>
      </c>
      <c r="I190" s="42">
        <f>AB173</f>
        <v>0</v>
      </c>
      <c r="J190" s="1"/>
      <c r="K190" s="3"/>
      <c r="L190" s="3"/>
      <c r="M190" s="3"/>
      <c r="N190" s="15"/>
      <c r="O190" s="15"/>
      <c r="P190" s="15"/>
      <c r="Q190" s="15"/>
      <c r="R190" s="15"/>
      <c r="S190" s="15"/>
      <c r="T190" s="15"/>
      <c r="U190" s="15"/>
      <c r="V190" s="15"/>
      <c r="W190" s="15"/>
      <c r="X190" s="15"/>
      <c r="Y190" s="15"/>
      <c r="Z190" s="15"/>
      <c r="AA190" s="15"/>
      <c r="AB190" s="15">
        <f>IF(E207=0,F207/E5,(E207*(E40+E39+E38)/E5))</f>
        <v>24.372779999999999</v>
      </c>
      <c r="AH190" s="2">
        <v>2016</v>
      </c>
    </row>
    <row r="191" spans="1:35" ht="15.4">
      <c r="A191" s="34"/>
      <c r="B191" s="23"/>
      <c r="C191" s="23"/>
      <c r="D191" s="23"/>
      <c r="E191" s="23"/>
      <c r="F191" s="32"/>
      <c r="G191" s="41"/>
      <c r="H191" s="31"/>
      <c r="I191" s="30"/>
      <c r="J191" s="1"/>
      <c r="K191" s="3"/>
      <c r="L191" s="3"/>
      <c r="M191" s="3"/>
      <c r="N191" s="15"/>
      <c r="O191" s="15"/>
      <c r="P191" s="15"/>
      <c r="Q191" s="15"/>
      <c r="R191" s="15"/>
      <c r="S191" s="15"/>
      <c r="T191" s="15"/>
      <c r="U191" s="15"/>
      <c r="V191" s="15"/>
      <c r="W191" s="15"/>
      <c r="X191" s="15"/>
      <c r="Y191" s="15"/>
      <c r="Z191" s="15"/>
      <c r="AA191" s="15"/>
      <c r="AB191" s="15">
        <f>H207*E5</f>
        <v>9749.1119999999992</v>
      </c>
      <c r="AH191" s="2" t="s">
        <v>200</v>
      </c>
    </row>
    <row r="192" spans="1:35" ht="15.4">
      <c r="A192" s="34"/>
      <c r="B192" s="23"/>
      <c r="C192" s="23"/>
      <c r="D192" s="23"/>
      <c r="E192" s="36" t="s">
        <v>201</v>
      </c>
      <c r="F192" s="36" t="s">
        <v>99</v>
      </c>
      <c r="G192" s="41"/>
      <c r="H192" s="43"/>
      <c r="I192" s="39" t="s">
        <v>99</v>
      </c>
      <c r="J192" s="1"/>
      <c r="K192" s="3"/>
      <c r="L192" s="3"/>
      <c r="M192" s="3"/>
      <c r="N192" s="15"/>
      <c r="O192" s="15"/>
      <c r="P192" s="15"/>
      <c r="Q192" s="15"/>
      <c r="R192" s="15"/>
      <c r="S192" s="15"/>
      <c r="T192" s="15"/>
      <c r="U192" s="15"/>
      <c r="V192" s="15"/>
      <c r="W192" s="15"/>
      <c r="X192" s="15"/>
      <c r="Y192" s="15"/>
      <c r="Z192" s="15"/>
      <c r="AA192" s="15"/>
      <c r="AB192" s="15">
        <f>IF(E208=0,F208/E5,(E208*(E40+E35+E36+E37+E38+E39)/E5))</f>
        <v>4.468343</v>
      </c>
      <c r="AH192" s="2" t="s">
        <v>202</v>
      </c>
      <c r="AI192" s="2" t="s">
        <v>103</v>
      </c>
    </row>
    <row r="193" spans="1:35" ht="15.4">
      <c r="A193" s="34"/>
      <c r="B193" s="23"/>
      <c r="C193" s="23"/>
      <c r="D193" s="32"/>
      <c r="E193" s="36" t="s">
        <v>103</v>
      </c>
      <c r="F193" s="36" t="str">
        <f>AB174</f>
        <v>400 Ewes</v>
      </c>
      <c r="G193" s="41"/>
      <c r="H193" s="36" t="s">
        <v>103</v>
      </c>
      <c r="I193" s="39" t="str">
        <f>AB175</f>
        <v xml:space="preserve"> 400 Ewes</v>
      </c>
      <c r="J193" s="9">
        <f>AB296</f>
        <v>70</v>
      </c>
      <c r="K193" s="3"/>
      <c r="L193" s="3"/>
      <c r="M193" s="3"/>
      <c r="N193" s="15"/>
      <c r="O193" s="15"/>
      <c r="P193" s="15"/>
      <c r="Q193" s="15"/>
      <c r="R193" s="15"/>
      <c r="S193" s="15"/>
      <c r="T193" s="15"/>
      <c r="U193" s="15"/>
      <c r="V193" s="15"/>
      <c r="W193" s="15"/>
      <c r="X193" s="15"/>
      <c r="Y193" s="15"/>
      <c r="Z193" s="15"/>
      <c r="AA193" s="15"/>
      <c r="AB193" s="15">
        <f>H208*E5</f>
        <v>1787.3371999999999</v>
      </c>
      <c r="AG193" s="2" t="s">
        <v>203</v>
      </c>
      <c r="AH193" s="202">
        <f>2.94+3.62</f>
        <v>6.5600000000000005</v>
      </c>
      <c r="AI193" s="2">
        <f>$AE$46*AH193/100</f>
        <v>36.862793172400004</v>
      </c>
    </row>
    <row r="194" spans="1:35" ht="15.4">
      <c r="A194" s="34"/>
      <c r="B194" s="23"/>
      <c r="C194" s="23"/>
      <c r="D194" s="23"/>
      <c r="E194" s="36" t="s">
        <v>204</v>
      </c>
      <c r="F194" s="36" t="s">
        <v>205</v>
      </c>
      <c r="G194" s="41"/>
      <c r="H194" s="36" t="s">
        <v>122</v>
      </c>
      <c r="I194" s="39" t="s">
        <v>123</v>
      </c>
      <c r="J194" s="9">
        <f>AB297</f>
        <v>0</v>
      </c>
      <c r="K194" s="3"/>
      <c r="L194" s="3"/>
      <c r="M194" s="3"/>
      <c r="N194" s="15"/>
      <c r="O194" s="15"/>
      <c r="P194" s="15"/>
      <c r="Q194" s="15"/>
      <c r="R194" s="15"/>
      <c r="S194" s="15"/>
      <c r="T194" s="15"/>
      <c r="U194" s="15"/>
      <c r="V194" s="15"/>
      <c r="W194" s="15"/>
      <c r="X194" s="15"/>
      <c r="Y194" s="15"/>
      <c r="Z194" s="15"/>
      <c r="AA194" s="15"/>
      <c r="AB194" s="15">
        <f>IF(E199=0,F199/F47,E199)</f>
        <v>9.4</v>
      </c>
      <c r="AG194" s="2" t="s">
        <v>206</v>
      </c>
      <c r="AH194" s="202">
        <v>1.77</v>
      </c>
      <c r="AI194" s="2">
        <f t="shared" ref="AI194:AI207" si="33">$AE$46*AH194/100</f>
        <v>9.9462109626749999</v>
      </c>
    </row>
    <row r="195" spans="1:35" ht="15.4">
      <c r="A195" s="26" t="s">
        <v>203</v>
      </c>
      <c r="B195" s="23"/>
      <c r="C195" s="23"/>
      <c r="D195" s="23"/>
      <c r="E195" s="40">
        <v>23</v>
      </c>
      <c r="F195" s="44"/>
      <c r="G195" s="41"/>
      <c r="H195" s="41">
        <f>AB176</f>
        <v>23</v>
      </c>
      <c r="I195" s="42">
        <f>AB177</f>
        <v>9200</v>
      </c>
      <c r="J195" s="9">
        <f>AB298</f>
        <v>0.38</v>
      </c>
      <c r="K195" s="3"/>
      <c r="L195" s="3"/>
      <c r="M195" s="3"/>
      <c r="N195" s="15"/>
      <c r="O195" s="15"/>
      <c r="P195" s="15"/>
      <c r="Q195" s="15"/>
      <c r="R195" s="15"/>
      <c r="S195" s="15"/>
      <c r="T195" s="15"/>
      <c r="U195" s="15"/>
      <c r="V195" s="15"/>
      <c r="W195" s="15"/>
      <c r="X195" s="15"/>
      <c r="Y195" s="15"/>
      <c r="Z195" s="15"/>
      <c r="AA195" s="15"/>
      <c r="AB195" s="15">
        <f>H199*E5</f>
        <v>3760</v>
      </c>
      <c r="AG195" s="2" t="s">
        <v>207</v>
      </c>
      <c r="AH195" s="202"/>
      <c r="AI195" s="2">
        <f t="shared" si="33"/>
        <v>0</v>
      </c>
    </row>
    <row r="196" spans="1:35" ht="15.4">
      <c r="A196" s="26" t="s">
        <v>206</v>
      </c>
      <c r="B196" s="230" t="s">
        <v>208</v>
      </c>
      <c r="C196" s="231" t="s">
        <v>209</v>
      </c>
      <c r="D196" s="199">
        <v>0.5</v>
      </c>
      <c r="E196" s="40">
        <v>14</v>
      </c>
      <c r="F196" s="44"/>
      <c r="G196" s="41"/>
      <c r="H196" s="41">
        <f>AB178</f>
        <v>7</v>
      </c>
      <c r="I196" s="42">
        <f>AB179</f>
        <v>2800</v>
      </c>
      <c r="J196" s="1"/>
      <c r="K196" s="3"/>
      <c r="L196" s="3"/>
      <c r="M196" s="3"/>
      <c r="N196" s="15"/>
      <c r="O196" s="15"/>
      <c r="P196" s="15"/>
      <c r="Q196" s="15"/>
      <c r="R196" s="15"/>
      <c r="S196" s="15"/>
      <c r="T196" s="15"/>
      <c r="U196" s="15"/>
      <c r="V196" s="15"/>
      <c r="W196" s="15"/>
      <c r="X196" s="15"/>
      <c r="Y196" s="15"/>
      <c r="Z196" s="15"/>
      <c r="AA196" s="15"/>
      <c r="AB196" s="15">
        <f>IF(E200=0,F200/F47,E200)</f>
        <v>13</v>
      </c>
      <c r="AG196" s="2" t="s">
        <v>210</v>
      </c>
      <c r="AH196" s="202"/>
      <c r="AI196" s="2">
        <f t="shared" si="33"/>
        <v>0</v>
      </c>
    </row>
    <row r="197" spans="1:35" ht="15.4">
      <c r="A197" s="26" t="s">
        <v>211</v>
      </c>
      <c r="B197" s="23"/>
      <c r="C197" s="229" t="s">
        <v>212</v>
      </c>
      <c r="D197" s="232"/>
      <c r="E197" s="40"/>
      <c r="F197" s="44"/>
      <c r="G197" s="41"/>
      <c r="H197" s="41">
        <f>AB180</f>
        <v>0</v>
      </c>
      <c r="I197" s="42">
        <f>AB181</f>
        <v>0</v>
      </c>
      <c r="J197" s="9">
        <f>AB301</f>
        <v>1289445057.5516067</v>
      </c>
      <c r="K197" s="3"/>
      <c r="L197" s="3"/>
      <c r="M197" s="3"/>
      <c r="N197" s="15"/>
      <c r="O197" s="15"/>
      <c r="P197" s="15"/>
      <c r="Q197" s="15"/>
      <c r="R197" s="15"/>
      <c r="S197" s="15"/>
      <c r="T197" s="15"/>
      <c r="U197" s="15"/>
      <c r="V197" s="15"/>
      <c r="W197" s="15"/>
      <c r="X197" s="15"/>
      <c r="Y197" s="15"/>
      <c r="Z197" s="15"/>
      <c r="AA197" s="15"/>
      <c r="AB197" s="15">
        <f>H200*E5</f>
        <v>5200</v>
      </c>
      <c r="AG197" s="2" t="s">
        <v>213</v>
      </c>
      <c r="AH197" s="202">
        <f>1.79+1.1</f>
        <v>2.89</v>
      </c>
      <c r="AI197" s="2">
        <f t="shared" si="33"/>
        <v>16.239858577475001</v>
      </c>
    </row>
    <row r="198" spans="1:35" ht="15.4">
      <c r="A198" s="26" t="s">
        <v>214</v>
      </c>
      <c r="B198" s="23"/>
      <c r="C198" s="23"/>
      <c r="D198" s="23"/>
      <c r="E198" s="40"/>
      <c r="F198" s="44"/>
      <c r="G198" s="41"/>
      <c r="H198" s="41">
        <f>AB184</f>
        <v>0</v>
      </c>
      <c r="I198" s="42">
        <f>AB185</f>
        <v>0</v>
      </c>
      <c r="J198" s="9">
        <f>AB303</f>
        <v>35908.843723400598</v>
      </c>
      <c r="K198" s="3"/>
      <c r="L198" s="3"/>
      <c r="M198" s="3"/>
      <c r="N198" s="15"/>
      <c r="O198" s="15"/>
      <c r="P198" s="15"/>
      <c r="Q198" s="15"/>
      <c r="R198" s="15"/>
      <c r="S198" s="15"/>
      <c r="T198" s="15"/>
      <c r="U198" s="15"/>
      <c r="V198" s="15"/>
      <c r="W198" s="15"/>
      <c r="X198" s="15"/>
      <c r="Y198" s="15"/>
      <c r="Z198" s="15"/>
      <c r="AA198" s="15"/>
      <c r="AB198" s="15">
        <f>IF(E201=0,F201/F47,E201)</f>
        <v>20</v>
      </c>
      <c r="AG198" s="2" t="s">
        <v>215</v>
      </c>
      <c r="AH198" s="202">
        <f>1.73+0.32</f>
        <v>2.0499999999999998</v>
      </c>
      <c r="AI198" s="2">
        <f t="shared" si="33"/>
        <v>11.519622866375</v>
      </c>
    </row>
    <row r="199" spans="1:35" ht="15.4">
      <c r="A199" s="26" t="s">
        <v>215</v>
      </c>
      <c r="B199" s="23"/>
      <c r="C199" s="23"/>
      <c r="D199" s="23"/>
      <c r="E199" s="40">
        <v>9.4</v>
      </c>
      <c r="F199" s="44"/>
      <c r="G199" s="41"/>
      <c r="H199" s="41">
        <f>AB194</f>
        <v>9.4</v>
      </c>
      <c r="I199" s="42">
        <f>AB195</f>
        <v>3760</v>
      </c>
      <c r="J199" s="9">
        <f>AB305</f>
        <v>89.772109308501499</v>
      </c>
      <c r="K199" s="3"/>
      <c r="L199" s="3"/>
      <c r="M199" s="3"/>
      <c r="N199" s="15"/>
      <c r="O199" s="15"/>
      <c r="P199" s="15"/>
      <c r="Q199" s="15"/>
      <c r="R199" s="15"/>
      <c r="S199" s="15"/>
      <c r="T199" s="15"/>
      <c r="U199" s="15"/>
      <c r="V199" s="15"/>
      <c r="W199" s="15"/>
      <c r="X199" s="15"/>
      <c r="Y199" s="15"/>
      <c r="Z199" s="15"/>
      <c r="AA199" s="15"/>
      <c r="AB199" s="15">
        <f>H201*E5</f>
        <v>8000</v>
      </c>
      <c r="AG199" s="2" t="s">
        <v>216</v>
      </c>
      <c r="AH199" s="202">
        <v>3.77</v>
      </c>
      <c r="AI199" s="2">
        <f t="shared" si="33"/>
        <v>21.184867417675001</v>
      </c>
    </row>
    <row r="200" spans="1:35" ht="15.4">
      <c r="A200" s="26" t="s">
        <v>216</v>
      </c>
      <c r="B200" s="23"/>
      <c r="C200" s="23"/>
      <c r="D200" s="23"/>
      <c r="E200" s="40">
        <v>13</v>
      </c>
      <c r="F200" s="44"/>
      <c r="G200" s="41"/>
      <c r="H200" s="41">
        <f>AB196</f>
        <v>13</v>
      </c>
      <c r="I200" s="42">
        <f>AB197</f>
        <v>5200</v>
      </c>
      <c r="J200" s="1"/>
      <c r="K200" s="3"/>
      <c r="L200" s="3"/>
      <c r="M200" s="3"/>
      <c r="N200" s="15"/>
      <c r="O200" s="15"/>
      <c r="P200" s="15"/>
      <c r="Q200" s="15"/>
      <c r="R200" s="15"/>
      <c r="S200" s="15"/>
      <c r="T200" s="15"/>
      <c r="U200" s="15"/>
      <c r="V200" s="15"/>
      <c r="W200" s="15"/>
      <c r="X200" s="15"/>
      <c r="Y200" s="15"/>
      <c r="Z200" s="15"/>
      <c r="AA200" s="15"/>
      <c r="AB200" s="15">
        <f>IF(E202=0,F202/F47,E202)</f>
        <v>0</v>
      </c>
      <c r="AG200" s="2" t="s">
        <v>217</v>
      </c>
      <c r="AH200" s="202">
        <v>6.95</v>
      </c>
      <c r="AI200" s="2">
        <f t="shared" si="33"/>
        <v>39.054331181125001</v>
      </c>
    </row>
    <row r="201" spans="1:35" ht="15.4">
      <c r="A201" s="26" t="s">
        <v>217</v>
      </c>
      <c r="B201" s="23"/>
      <c r="C201" s="23"/>
      <c r="D201" s="23"/>
      <c r="E201" s="40">
        <v>20</v>
      </c>
      <c r="F201" s="44"/>
      <c r="G201" s="41"/>
      <c r="H201" s="41">
        <f>AB198</f>
        <v>20</v>
      </c>
      <c r="I201" s="42">
        <f>AB199</f>
        <v>8000</v>
      </c>
      <c r="J201" s="9">
        <f ca="1">AB307</f>
        <v>0.2825507604174779</v>
      </c>
      <c r="K201" s="9">
        <f ca="1">AB308</f>
        <v>0.2825507604174779</v>
      </c>
      <c r="L201" s="3"/>
      <c r="M201" s="3"/>
      <c r="N201" s="15"/>
      <c r="O201" s="15"/>
      <c r="P201" s="15"/>
      <c r="Q201" s="15"/>
      <c r="R201" s="15"/>
      <c r="S201" s="15"/>
      <c r="T201" s="15"/>
      <c r="U201" s="15"/>
      <c r="V201" s="15"/>
      <c r="W201" s="15"/>
      <c r="X201" s="15"/>
      <c r="Y201" s="15"/>
      <c r="Z201" s="15"/>
      <c r="AA201" s="15"/>
      <c r="AB201" s="15">
        <f>H202*E5</f>
        <v>0</v>
      </c>
      <c r="AG201" s="2" t="s">
        <v>218</v>
      </c>
      <c r="AH201" s="202">
        <v>1.97</v>
      </c>
      <c r="AI201" s="2">
        <f t="shared" si="33"/>
        <v>11.070076608175</v>
      </c>
    </row>
    <row r="202" spans="1:35" ht="15.4">
      <c r="A202" s="26" t="s">
        <v>219</v>
      </c>
      <c r="B202" s="23"/>
      <c r="C202" s="23"/>
      <c r="D202" s="23"/>
      <c r="E202" s="40">
        <v>0</v>
      </c>
      <c r="F202" s="29"/>
      <c r="G202" s="41"/>
      <c r="H202" s="41">
        <f>AB200</f>
        <v>0</v>
      </c>
      <c r="I202" s="42">
        <f>AB201</f>
        <v>0</v>
      </c>
      <c r="J202" s="9">
        <f ca="1">AB309</f>
        <v>0.93857003290688346</v>
      </c>
      <c r="K202" s="9">
        <f ca="1">AB310</f>
        <v>0.93857003290688346</v>
      </c>
      <c r="L202" s="3"/>
      <c r="M202" s="3"/>
      <c r="N202" s="15"/>
      <c r="O202" s="15"/>
      <c r="P202" s="15"/>
      <c r="Q202" s="15"/>
      <c r="R202" s="15"/>
      <c r="S202" s="15"/>
      <c r="T202" s="15"/>
      <c r="U202" s="15"/>
      <c r="V202" s="15"/>
      <c r="W202" s="15"/>
      <c r="X202" s="15"/>
      <c r="Y202" s="15"/>
      <c r="Z202" s="15"/>
      <c r="AA202" s="15"/>
      <c r="AB202" s="15" t="str">
        <f>" "&amp;FIXED(E5,0,TRUE)&amp;" Ewes"</f>
        <v xml:space="preserve"> 400 Ewes</v>
      </c>
      <c r="AG202" s="2" t="s">
        <v>220</v>
      </c>
      <c r="AH202" s="202">
        <f>0.72+0.33+0.72</f>
        <v>1.77</v>
      </c>
      <c r="AI202" s="2">
        <f t="shared" si="33"/>
        <v>9.9462109626749999</v>
      </c>
    </row>
    <row r="203" spans="1:35" ht="15.4">
      <c r="A203" s="26"/>
      <c r="B203" s="36" t="s">
        <v>221</v>
      </c>
      <c r="C203" s="36" t="s">
        <v>222</v>
      </c>
      <c r="D203" s="23"/>
      <c r="E203" s="23"/>
      <c r="F203" s="32"/>
      <c r="G203" s="41"/>
      <c r="H203" s="41"/>
      <c r="I203" s="42"/>
      <c r="J203" s="9">
        <f ca="1">AB311</f>
        <v>0.38333116692438146</v>
      </c>
      <c r="K203" s="9">
        <f ca="1">AB312</f>
        <v>0.38333116692438146</v>
      </c>
      <c r="L203" s="3"/>
      <c r="M203" s="3"/>
      <c r="N203" s="15"/>
      <c r="O203" s="15"/>
      <c r="P203" s="15"/>
      <c r="Q203" s="15"/>
      <c r="R203" s="15"/>
      <c r="S203" s="15"/>
      <c r="T203" s="15"/>
      <c r="U203" s="15"/>
      <c r="V203" s="15"/>
      <c r="W203" s="15"/>
      <c r="X203" s="15"/>
      <c r="Y203" s="15"/>
      <c r="Z203" s="15"/>
      <c r="AA203" s="15"/>
      <c r="AB203" s="15">
        <f ca="1">IF(L148=0,0,HLOOKUP(A2,INDIRECT(L32),2,FALSE)*INDIRECT(L148)*0.01)</f>
        <v>0</v>
      </c>
      <c r="AG203" s="2" t="s">
        <v>223</v>
      </c>
      <c r="AH203" s="202">
        <v>2.64</v>
      </c>
      <c r="AI203" s="2">
        <f t="shared" si="33"/>
        <v>14.835026520600001</v>
      </c>
    </row>
    <row r="204" spans="1:35" ht="15.4">
      <c r="A204" s="26" t="s">
        <v>224</v>
      </c>
      <c r="B204" s="40">
        <v>6</v>
      </c>
      <c r="C204" s="40">
        <v>1000</v>
      </c>
      <c r="D204" s="23"/>
      <c r="E204" s="40"/>
      <c r="F204" s="44">
        <f>C204*B204</f>
        <v>6000</v>
      </c>
      <c r="G204" s="41"/>
      <c r="H204" s="41">
        <f>AB186</f>
        <v>15</v>
      </c>
      <c r="I204" s="42">
        <f>AB187</f>
        <v>6000</v>
      </c>
      <c r="J204" s="9"/>
      <c r="K204" s="9"/>
      <c r="L204" s="3"/>
      <c r="M204" s="3"/>
      <c r="N204" s="15"/>
      <c r="O204" s="15"/>
      <c r="P204" s="15"/>
      <c r="Q204" s="15"/>
      <c r="R204" s="15"/>
      <c r="S204" s="15"/>
      <c r="T204" s="15"/>
      <c r="U204" s="15"/>
      <c r="V204" s="15"/>
      <c r="W204" s="15"/>
      <c r="X204" s="15"/>
      <c r="Y204" s="15"/>
      <c r="Z204" s="15"/>
      <c r="AA204" s="15"/>
      <c r="AB204" s="15">
        <f ca="1">I213/E5</f>
        <v>8.0500000000000007</v>
      </c>
      <c r="AG204" s="2" t="s">
        <v>225</v>
      </c>
      <c r="AH204" s="202">
        <v>3.8</v>
      </c>
      <c r="AI204" s="2">
        <f t="shared" si="33"/>
        <v>21.353447264500002</v>
      </c>
    </row>
    <row r="205" spans="1:35" ht="21" customHeight="1">
      <c r="A205" s="26"/>
      <c r="B205" s="23"/>
      <c r="C205" s="23"/>
      <c r="D205" s="23"/>
      <c r="E205" s="36" t="s">
        <v>226</v>
      </c>
      <c r="F205" s="41" t="s">
        <v>227</v>
      </c>
      <c r="G205" s="41"/>
      <c r="H205" s="41"/>
      <c r="I205" s="42"/>
      <c r="J205" s="9"/>
      <c r="K205" s="9"/>
      <c r="L205" s="3"/>
      <c r="M205" s="3"/>
      <c r="N205" s="15"/>
      <c r="O205" s="15"/>
      <c r="P205" s="15"/>
      <c r="Q205" s="15"/>
      <c r="R205" s="15"/>
      <c r="S205" s="15"/>
      <c r="T205" s="15"/>
      <c r="U205" s="15"/>
      <c r="V205" s="15"/>
      <c r="W205" s="15"/>
      <c r="X205" s="15"/>
      <c r="Y205" s="15"/>
      <c r="Z205" s="15"/>
      <c r="AA205" s="15"/>
      <c r="AB205" s="15">
        <f ca="1">IF(E213=0,D213*E5,IF(INDIRECT(L148)&gt;0,E213,D213*E5))</f>
        <v>3220.0000000000005</v>
      </c>
      <c r="AG205" s="2" t="s">
        <v>228</v>
      </c>
      <c r="AH205" s="202">
        <v>2.02</v>
      </c>
      <c r="AI205" s="2">
        <f t="shared" si="33"/>
        <v>11.35104301955</v>
      </c>
    </row>
    <row r="206" spans="1:35" ht="15.4">
      <c r="A206" s="26" t="s">
        <v>229</v>
      </c>
      <c r="B206" s="23"/>
      <c r="C206" s="23"/>
      <c r="D206" s="23"/>
      <c r="E206" s="40">
        <v>8</v>
      </c>
      <c r="F206" s="44"/>
      <c r="G206" s="41"/>
      <c r="H206" s="41">
        <f>AB188</f>
        <v>16.248519999999999</v>
      </c>
      <c r="I206" s="42">
        <f>AB189</f>
        <v>6499.4079999999994</v>
      </c>
      <c r="J206" s="9"/>
      <c r="K206" s="3"/>
      <c r="L206" s="3"/>
      <c r="M206" s="15"/>
      <c r="N206" s="15"/>
      <c r="O206" s="15"/>
      <c r="P206" s="15"/>
      <c r="Q206" s="15"/>
      <c r="R206" s="15"/>
      <c r="S206" s="15"/>
      <c r="T206" s="15"/>
      <c r="U206" s="15"/>
      <c r="V206" s="15"/>
      <c r="W206" s="15"/>
      <c r="X206" s="15"/>
      <c r="Y206" s="15"/>
      <c r="Z206" s="15"/>
      <c r="AA206" s="17"/>
      <c r="AB206" s="15">
        <f ca="1">IF(L153=0,0,HLOOKUP(A2,INDIRECT(L32),3,FALSE)*INDIRECT(L153)*0.01)</f>
        <v>0</v>
      </c>
      <c r="AG206" s="2" t="s">
        <v>230</v>
      </c>
      <c r="AH206" s="202"/>
      <c r="AI206" s="2">
        <f t="shared" si="33"/>
        <v>0</v>
      </c>
    </row>
    <row r="207" spans="1:35" ht="15.4">
      <c r="A207" s="26" t="s">
        <v>231</v>
      </c>
      <c r="B207" s="23"/>
      <c r="C207" s="23"/>
      <c r="D207" s="23"/>
      <c r="E207" s="40">
        <v>12</v>
      </c>
      <c r="F207" s="44"/>
      <c r="G207" s="41"/>
      <c r="H207" s="41">
        <f>AB190</f>
        <v>24.372779999999999</v>
      </c>
      <c r="I207" s="42">
        <f>AB191</f>
        <v>9749.1119999999992</v>
      </c>
      <c r="J207" s="9"/>
      <c r="K207" s="3"/>
      <c r="L207" s="3"/>
      <c r="M207" s="15"/>
      <c r="N207" s="15"/>
      <c r="O207" s="15"/>
      <c r="P207" s="15"/>
      <c r="Q207" s="15"/>
      <c r="R207" s="15"/>
      <c r="S207" s="15"/>
      <c r="T207" s="15"/>
      <c r="U207" s="15"/>
      <c r="V207" s="15"/>
      <c r="W207" s="15"/>
      <c r="X207" s="15"/>
      <c r="Y207" s="15"/>
      <c r="Z207" s="15"/>
      <c r="AA207" s="17"/>
      <c r="AB207" s="15">
        <f ca="1">I214/E5</f>
        <v>4.6739999999999995</v>
      </c>
      <c r="AG207" s="2" t="s">
        <v>232</v>
      </c>
      <c r="AH207" s="202">
        <f>0.11+1.8+0.89</f>
        <v>2.8000000000000003</v>
      </c>
      <c r="AI207" s="2">
        <f t="shared" si="33"/>
        <v>15.734119037000003</v>
      </c>
    </row>
    <row r="208" spans="1:35" ht="15.4">
      <c r="A208" s="26" t="s">
        <v>233</v>
      </c>
      <c r="B208" s="23"/>
      <c r="C208" s="23"/>
      <c r="D208" s="23"/>
      <c r="E208" s="40">
        <v>2.2000000000000002</v>
      </c>
      <c r="F208" s="44"/>
      <c r="G208" s="41"/>
      <c r="H208" s="41">
        <f>AB192</f>
        <v>4.468343</v>
      </c>
      <c r="I208" s="42">
        <f>AB193</f>
        <v>1787.3371999999999</v>
      </c>
      <c r="J208" s="9"/>
      <c r="K208" s="3"/>
      <c r="L208" s="3"/>
      <c r="M208" s="15"/>
      <c r="N208" s="15"/>
      <c r="O208" s="15"/>
      <c r="P208" s="15"/>
      <c r="Q208" s="15"/>
      <c r="R208" s="15"/>
      <c r="S208" s="15"/>
      <c r="T208" s="15"/>
      <c r="U208" s="15"/>
      <c r="V208" s="15"/>
      <c r="W208" s="15"/>
      <c r="X208" s="15"/>
      <c r="Y208" s="15"/>
      <c r="Z208" s="15"/>
      <c r="AA208" s="17"/>
      <c r="AB208" s="15">
        <f ca="1">IF(E214=0,D214*E5,IF(INDIRECT(L153)&gt;0,E214,D214*E5))</f>
        <v>1869.6</v>
      </c>
    </row>
    <row r="209" spans="1:35" ht="15.4">
      <c r="A209" s="26" t="s">
        <v>234</v>
      </c>
      <c r="B209" s="23"/>
      <c r="C209" s="229" t="s">
        <v>235</v>
      </c>
      <c r="D209" s="232"/>
      <c r="E209" s="40">
        <v>2.65</v>
      </c>
      <c r="F209" s="44"/>
      <c r="G209" s="41"/>
      <c r="H209" s="41">
        <f>AB182</f>
        <v>5.3823222499999996</v>
      </c>
      <c r="I209" s="42">
        <f>AB183</f>
        <v>2152.9288999999999</v>
      </c>
      <c r="J209" s="9"/>
      <c r="K209" s="3"/>
      <c r="L209" s="3"/>
      <c r="M209" s="15"/>
      <c r="N209" s="15"/>
      <c r="O209" s="15"/>
      <c r="P209" s="15"/>
      <c r="Q209" s="15"/>
      <c r="R209" s="15"/>
      <c r="S209" s="15"/>
      <c r="T209" s="15"/>
      <c r="U209" s="15"/>
      <c r="V209" s="15"/>
      <c r="W209" s="15"/>
      <c r="X209" s="15"/>
      <c r="Y209" s="15"/>
      <c r="Z209" s="15"/>
      <c r="AA209" s="17"/>
      <c r="AB209" s="15">
        <f ca="1">IF(L154=0,0,HLOOKUP(A2,INDIRECT(L32),4,FALSE)*INDIRECT(L154)*0.01)</f>
        <v>0</v>
      </c>
      <c r="AG209" s="2" t="s">
        <v>236</v>
      </c>
    </row>
    <row r="210" spans="1:35" ht="15.4">
      <c r="A210" s="34"/>
      <c r="B210" s="23"/>
      <c r="C210" s="23"/>
      <c r="D210" s="23"/>
      <c r="E210" s="32"/>
      <c r="F210" s="32"/>
      <c r="G210" s="32"/>
      <c r="H210" s="31"/>
      <c r="I210" s="30"/>
      <c r="J210" s="9"/>
      <c r="K210" s="3"/>
      <c r="L210" s="3"/>
      <c r="M210" s="15"/>
      <c r="N210" s="15"/>
      <c r="O210" s="15"/>
      <c r="P210" s="15"/>
      <c r="Q210" s="15"/>
      <c r="R210" s="15"/>
      <c r="S210" s="15"/>
      <c r="T210" s="15"/>
      <c r="U210" s="15"/>
      <c r="V210" s="15"/>
      <c r="W210" s="15"/>
      <c r="X210" s="15"/>
      <c r="Y210" s="15"/>
      <c r="Z210" s="15"/>
      <c r="AA210" s="17"/>
      <c r="AB210" s="15">
        <f ca="1">I215/E5</f>
        <v>15.814188000000001</v>
      </c>
      <c r="AG210" s="2" t="s">
        <v>237</v>
      </c>
    </row>
    <row r="211" spans="1:35" ht="15.4">
      <c r="A211" s="34"/>
      <c r="B211" s="23"/>
      <c r="C211" s="23"/>
      <c r="D211" s="36" t="s">
        <v>201</v>
      </c>
      <c r="E211" s="97" t="s">
        <v>238</v>
      </c>
      <c r="F211" s="32"/>
      <c r="G211" s="32"/>
      <c r="H211" s="43"/>
      <c r="I211" s="39" t="s">
        <v>99</v>
      </c>
      <c r="J211" s="9"/>
      <c r="K211" s="3"/>
      <c r="L211" s="3"/>
      <c r="M211" s="15"/>
      <c r="N211" s="15"/>
      <c r="O211" s="15"/>
      <c r="P211" s="15"/>
      <c r="Q211" s="15"/>
      <c r="R211" s="15"/>
      <c r="S211" s="15"/>
      <c r="T211" s="15"/>
      <c r="U211" s="15"/>
      <c r="V211" s="15"/>
      <c r="W211" s="15"/>
      <c r="X211" s="15"/>
      <c r="Y211" s="15"/>
      <c r="Z211" s="15"/>
      <c r="AA211" s="17"/>
      <c r="AB211" s="15">
        <f ca="1">IF(E215=0,D215*E5,IF(INDIRECT(L154)&gt;0,E215,D215*E5))</f>
        <v>6325.6752000000006</v>
      </c>
    </row>
    <row r="212" spans="1:35" ht="15.4">
      <c r="A212" s="34"/>
      <c r="B212" s="23"/>
      <c r="C212" s="23"/>
      <c r="D212" s="36" t="s">
        <v>239</v>
      </c>
      <c r="E212" s="97" t="s">
        <v>240</v>
      </c>
      <c r="F212" s="31"/>
      <c r="G212" s="31"/>
      <c r="H212" s="36" t="s">
        <v>103</v>
      </c>
      <c r="I212" s="39" t="str">
        <f>AB202</f>
        <v xml:space="preserve"> 400 Ewes</v>
      </c>
      <c r="J212" s="9"/>
      <c r="K212" s="3"/>
      <c r="L212" s="3"/>
      <c r="M212" s="15"/>
      <c r="N212" s="15"/>
      <c r="O212" s="15"/>
      <c r="P212" s="15"/>
      <c r="Q212" s="15"/>
      <c r="R212" s="15"/>
      <c r="S212" s="15"/>
      <c r="T212" s="15"/>
      <c r="U212" s="15"/>
      <c r="V212" s="15"/>
      <c r="W212" s="15"/>
      <c r="X212" s="15"/>
      <c r="Y212" s="15"/>
      <c r="Z212" s="15"/>
      <c r="AA212" s="17"/>
      <c r="AB212" s="15">
        <f ca="1">IF(L155=0,0,HLOOKUP(A2,INDIRECT(L32),5,FALSE)*INDIRECT(L155)*0.01)</f>
        <v>0</v>
      </c>
      <c r="AG212" s="2" t="s">
        <v>241</v>
      </c>
    </row>
    <row r="213" spans="1:35" ht="15.4">
      <c r="A213" s="26" t="s">
        <v>223</v>
      </c>
      <c r="B213" s="23"/>
      <c r="C213" s="23"/>
      <c r="D213" s="40">
        <v>8.0500000000000007</v>
      </c>
      <c r="E213" s="22">
        <f ca="1">AB203</f>
        <v>0</v>
      </c>
      <c r="F213" s="32"/>
      <c r="G213" s="32"/>
      <c r="H213" s="41">
        <f ca="1">AB204</f>
        <v>8.0500000000000007</v>
      </c>
      <c r="I213" s="42">
        <f ca="1">AB205</f>
        <v>3220.0000000000005</v>
      </c>
      <c r="J213" s="9"/>
      <c r="K213" s="3"/>
      <c r="L213" s="3"/>
      <c r="M213" s="15"/>
      <c r="N213" s="15"/>
      <c r="O213" s="15"/>
      <c r="P213" s="15"/>
      <c r="Q213" s="15"/>
      <c r="R213" s="15"/>
      <c r="S213" s="15"/>
      <c r="T213" s="15"/>
      <c r="U213" s="15"/>
      <c r="V213" s="15"/>
      <c r="W213" s="15"/>
      <c r="X213" s="15"/>
      <c r="Y213" s="15"/>
      <c r="Z213" s="15"/>
      <c r="AA213" s="17"/>
      <c r="AB213" s="15">
        <f ca="1">I216/E5</f>
        <v>0</v>
      </c>
    </row>
    <row r="214" spans="1:35" ht="15.4">
      <c r="A214" s="26" t="s">
        <v>225</v>
      </c>
      <c r="B214" s="23"/>
      <c r="C214" s="23"/>
      <c r="D214" s="40">
        <f>CapitalInvestment!AF32</f>
        <v>4.6739999999999995</v>
      </c>
      <c r="E214" s="22">
        <f ca="1">AB206</f>
        <v>0</v>
      </c>
      <c r="F214" s="32"/>
      <c r="G214" s="32"/>
      <c r="H214" s="41">
        <f ca="1">AB207</f>
        <v>4.6739999999999995</v>
      </c>
      <c r="I214" s="42">
        <f ca="1">AB208</f>
        <v>1869.6</v>
      </c>
      <c r="J214" s="9"/>
      <c r="K214" s="3"/>
      <c r="L214" s="3"/>
      <c r="M214" s="15"/>
      <c r="N214" s="15"/>
      <c r="O214" s="15"/>
      <c r="P214" s="15"/>
      <c r="Q214" s="15"/>
      <c r="R214" s="15"/>
      <c r="S214" s="15"/>
      <c r="T214" s="15"/>
      <c r="U214" s="15"/>
      <c r="V214" s="15"/>
      <c r="W214" s="15"/>
      <c r="X214" s="15"/>
      <c r="Y214" s="15"/>
      <c r="Z214" s="15"/>
      <c r="AA214" s="17"/>
      <c r="AB214" s="15">
        <f ca="1">IF(E216=0,D216*E5,IF(INDIRECT(L155)&gt;0,E216,D216*E5))</f>
        <v>0</v>
      </c>
    </row>
    <row r="215" spans="1:35" ht="15.4">
      <c r="A215" s="26" t="s">
        <v>228</v>
      </c>
      <c r="B215" s="23"/>
      <c r="C215" s="23"/>
      <c r="D215" s="40">
        <f>CapitalInvestment!AF31</f>
        <v>15.814188000000001</v>
      </c>
      <c r="E215" s="22">
        <f ca="1">AB209</f>
        <v>0</v>
      </c>
      <c r="F215" s="23"/>
      <c r="G215" s="23"/>
      <c r="H215" s="41">
        <f ca="1">AB210</f>
        <v>15.814188000000001</v>
      </c>
      <c r="I215" s="42">
        <f ca="1">AB211</f>
        <v>6325.6752000000006</v>
      </c>
      <c r="J215" s="9"/>
      <c r="K215" s="3"/>
      <c r="L215" s="3"/>
      <c r="M215" s="15"/>
      <c r="N215" s="15"/>
      <c r="O215" s="15"/>
      <c r="P215" s="15"/>
      <c r="Q215" s="15"/>
      <c r="R215" s="15"/>
      <c r="S215" s="15"/>
      <c r="T215" s="15"/>
      <c r="U215" s="15"/>
      <c r="V215" s="15"/>
      <c r="W215" s="15"/>
      <c r="X215" s="15"/>
      <c r="Y215" s="15"/>
      <c r="Z215" s="15"/>
      <c r="AA215" s="17"/>
      <c r="AB215" s="15">
        <f ca="1">IF(L156=0,0,HLOOKUP(A2,INDIRECT(L32),6,FALSE)*INDIRECT(L156)*0.01)</f>
        <v>0</v>
      </c>
    </row>
    <row r="216" spans="1:35" ht="15.4">
      <c r="A216" s="26" t="s">
        <v>230</v>
      </c>
      <c r="B216" s="23"/>
      <c r="C216" s="23"/>
      <c r="D216" s="40">
        <v>0</v>
      </c>
      <c r="E216" s="22">
        <f ca="1">AB212</f>
        <v>0</v>
      </c>
      <c r="F216" s="32"/>
      <c r="G216" s="32"/>
      <c r="H216" s="41">
        <f ca="1">AB213</f>
        <v>0</v>
      </c>
      <c r="I216" s="42">
        <f ca="1">AB214</f>
        <v>0</v>
      </c>
      <c r="J216" s="9"/>
      <c r="K216" s="3"/>
      <c r="L216" s="3"/>
      <c r="M216" s="15"/>
      <c r="N216" s="15"/>
      <c r="O216" s="15"/>
      <c r="P216" s="15"/>
      <c r="Q216" s="15"/>
      <c r="R216" s="15"/>
      <c r="S216" s="15"/>
      <c r="T216" s="15"/>
      <c r="U216" s="15"/>
      <c r="V216" s="15"/>
      <c r="W216" s="15"/>
      <c r="X216" s="15"/>
      <c r="Y216" s="15"/>
      <c r="Z216" s="15"/>
      <c r="AA216" s="17"/>
      <c r="AB216" s="15">
        <f ca="1">I217/E5</f>
        <v>6.8</v>
      </c>
    </row>
    <row r="217" spans="1:35" ht="15.4">
      <c r="A217" s="26" t="s">
        <v>232</v>
      </c>
      <c r="B217" s="23"/>
      <c r="C217" s="23"/>
      <c r="D217" s="40">
        <v>6.8</v>
      </c>
      <c r="E217" s="22">
        <f ca="1">AB215</f>
        <v>0</v>
      </c>
      <c r="F217" s="32"/>
      <c r="G217" s="32"/>
      <c r="H217" s="41">
        <f ca="1">AB216</f>
        <v>6.8</v>
      </c>
      <c r="I217" s="42">
        <f ca="1">AB217</f>
        <v>2720</v>
      </c>
      <c r="J217" s="9"/>
      <c r="K217" s="3"/>
      <c r="L217" s="3"/>
      <c r="M217" s="15"/>
      <c r="N217" s="15"/>
      <c r="O217" s="15"/>
      <c r="P217" s="15"/>
      <c r="Q217" s="15"/>
      <c r="R217" s="15"/>
      <c r="S217" s="15"/>
      <c r="T217" s="15"/>
      <c r="U217" s="15"/>
      <c r="V217" s="15"/>
      <c r="W217" s="15"/>
      <c r="X217" s="15"/>
      <c r="Y217" s="15"/>
      <c r="Z217" s="15"/>
      <c r="AA217" s="17"/>
      <c r="AB217" s="15">
        <f ca="1">IF(E217=0,D217*E5,IF(INDIRECT(L156)&gt;0,E217,D217*E5))</f>
        <v>2720</v>
      </c>
    </row>
    <row r="218" spans="1:35" ht="15.4">
      <c r="A218" s="26"/>
      <c r="B218" s="23"/>
      <c r="C218" s="23"/>
      <c r="D218" s="23"/>
      <c r="E218" s="97"/>
      <c r="F218" s="32"/>
      <c r="G218" s="32"/>
      <c r="H218" s="31"/>
      <c r="I218" s="30"/>
      <c r="J218" s="9"/>
      <c r="K218" s="3"/>
      <c r="L218" s="3"/>
      <c r="M218" s="15"/>
      <c r="N218" s="15"/>
      <c r="O218" s="15"/>
      <c r="P218" s="15"/>
      <c r="Q218" s="15"/>
      <c r="R218" s="15"/>
      <c r="S218" s="15"/>
      <c r="T218" s="15"/>
      <c r="U218" s="15"/>
      <c r="V218" s="15"/>
      <c r="W218" s="15"/>
      <c r="X218" s="15"/>
      <c r="Y218" s="15"/>
      <c r="Z218" s="15"/>
      <c r="AA218" s="17"/>
      <c r="AB218" s="15">
        <f ca="1">IF(L159=0,0,HLOOKUP(A2,INDIRECT(L32),7,FALSE)*INDIRECT(L159)*0.01)</f>
        <v>0</v>
      </c>
      <c r="AG218" s="2" t="s">
        <v>242</v>
      </c>
    </row>
    <row r="219" spans="1:35" ht="15.4">
      <c r="A219" s="26" t="s">
        <v>236</v>
      </c>
      <c r="B219" s="23"/>
      <c r="C219" s="36" t="s">
        <v>243</v>
      </c>
      <c r="D219" s="36" t="s">
        <v>244</v>
      </c>
      <c r="E219" s="97"/>
      <c r="F219" s="32"/>
      <c r="G219" s="32"/>
      <c r="H219" s="31"/>
      <c r="I219" s="30"/>
      <c r="J219" s="9"/>
      <c r="K219" s="3"/>
      <c r="L219" s="3"/>
      <c r="M219" s="15"/>
      <c r="N219" s="15"/>
      <c r="O219" s="15"/>
      <c r="P219" s="15"/>
      <c r="Q219" s="15"/>
      <c r="R219" s="15"/>
      <c r="S219" s="15"/>
      <c r="T219" s="15"/>
      <c r="U219" s="15"/>
      <c r="V219" s="15"/>
      <c r="W219" s="15"/>
      <c r="X219" s="15"/>
      <c r="Y219" s="15"/>
      <c r="Z219" s="15"/>
      <c r="AA219" s="17"/>
      <c r="AB219" s="15">
        <f ca="1">I220/E5</f>
        <v>11.66</v>
      </c>
      <c r="AG219" s="2" t="s">
        <v>245</v>
      </c>
      <c r="AH219" s="202">
        <v>10</v>
      </c>
      <c r="AI219" s="2">
        <f t="shared" ref="AI219:AI220" si="34">$AE$46*AH219/100</f>
        <v>56.193282275000001</v>
      </c>
    </row>
    <row r="220" spans="1:35" ht="15.4">
      <c r="A220" s="26" t="s">
        <v>237</v>
      </c>
      <c r="B220" s="23"/>
      <c r="C220" s="29">
        <v>8.1999999999999993</v>
      </c>
      <c r="D220" s="29">
        <v>33.299999999999997</v>
      </c>
      <c r="E220" s="22">
        <f ca="1">AB218</f>
        <v>0</v>
      </c>
      <c r="F220" s="31"/>
      <c r="G220" s="31"/>
      <c r="H220" s="41">
        <f ca="1">AB219</f>
        <v>11.66</v>
      </c>
      <c r="I220" s="42">
        <f ca="1">AB220</f>
        <v>4664</v>
      </c>
      <c r="J220" s="9"/>
      <c r="K220" s="3"/>
      <c r="L220" s="3"/>
      <c r="M220" s="15"/>
      <c r="N220" s="15"/>
      <c r="O220" s="15"/>
      <c r="P220" s="15"/>
      <c r="Q220" s="15"/>
      <c r="R220" s="15"/>
      <c r="S220" s="15"/>
      <c r="T220" s="15"/>
      <c r="U220" s="15"/>
      <c r="V220" s="15"/>
      <c r="W220" s="15"/>
      <c r="X220" s="15"/>
      <c r="Y220" s="15"/>
      <c r="Z220" s="15"/>
      <c r="AA220" s="17"/>
      <c r="AB220" s="15">
        <f ca="1">IF(E220=0,K159,IF(INDIRECT(L159)&gt;0,E220,K159))</f>
        <v>4664</v>
      </c>
      <c r="AG220" s="2" t="s">
        <v>246</v>
      </c>
      <c r="AH220" s="202">
        <v>3.73</v>
      </c>
      <c r="AI220" s="2">
        <f t="shared" si="34"/>
        <v>20.960094288575</v>
      </c>
    </row>
    <row r="221" spans="1:35" ht="15.4">
      <c r="A221" s="34"/>
      <c r="B221" s="23"/>
      <c r="C221" s="23"/>
      <c r="D221" s="23"/>
      <c r="E221" s="97"/>
      <c r="F221" s="32"/>
      <c r="G221" s="32"/>
      <c r="H221" s="36" t="s">
        <v>114</v>
      </c>
      <c r="I221" s="39" t="s">
        <v>123</v>
      </c>
      <c r="J221" s="9"/>
      <c r="K221" s="3"/>
      <c r="L221" s="3"/>
      <c r="M221" s="15"/>
      <c r="N221" s="15"/>
      <c r="O221" s="15"/>
      <c r="P221" s="15"/>
      <c r="Q221" s="15"/>
      <c r="R221" s="15"/>
      <c r="S221" s="15"/>
      <c r="T221" s="15"/>
      <c r="U221" s="15"/>
      <c r="V221" s="15"/>
      <c r="W221" s="15"/>
      <c r="X221" s="15"/>
      <c r="Y221" s="15"/>
      <c r="Z221" s="15"/>
      <c r="AA221" s="17"/>
      <c r="AB221" s="15">
        <f ca="1">I222/E5</f>
        <v>504.17997109939819</v>
      </c>
      <c r="AG221" s="2" t="s">
        <v>247</v>
      </c>
      <c r="AH221" s="202">
        <v>1.77</v>
      </c>
      <c r="AI221" s="2">
        <f t="shared" ref="AI221" si="35">$AE$46*AH221/100</f>
        <v>9.9462109626749999</v>
      </c>
    </row>
    <row r="222" spans="1:35" ht="15.4">
      <c r="A222" s="26" t="s">
        <v>241</v>
      </c>
      <c r="B222" s="23"/>
      <c r="C222" s="49"/>
      <c r="D222" s="23"/>
      <c r="E222" s="97"/>
      <c r="F222" s="32"/>
      <c r="G222" s="32"/>
      <c r="H222" s="41">
        <f ca="1">AB221</f>
        <v>504.17997109939819</v>
      </c>
      <c r="I222" s="42">
        <f ca="1">AB222</f>
        <v>201671.98843975927</v>
      </c>
      <c r="J222" s="9" t="s">
        <v>248</v>
      </c>
      <c r="K222" s="3"/>
      <c r="L222" s="3"/>
      <c r="M222" s="15"/>
      <c r="N222" s="15"/>
      <c r="O222" s="15"/>
      <c r="P222" s="15"/>
      <c r="Q222" s="15"/>
      <c r="R222" s="15"/>
      <c r="S222" s="15"/>
      <c r="T222" s="15"/>
      <c r="U222" s="15"/>
      <c r="V222" s="15"/>
      <c r="W222" s="15"/>
      <c r="X222" s="15"/>
      <c r="Y222" s="15"/>
      <c r="Z222" s="15"/>
      <c r="AA222" s="17"/>
      <c r="AB222" s="17">
        <f ca="1">SUM(I157,I183:I220)</f>
        <v>201671.98843975927</v>
      </c>
    </row>
    <row r="223" spans="1:35" ht="15.4">
      <c r="A223" s="26"/>
      <c r="B223" s="23"/>
      <c r="C223" s="23"/>
      <c r="D223" s="23"/>
      <c r="E223" s="97"/>
      <c r="F223" s="23"/>
      <c r="G223" s="23"/>
      <c r="H223" s="23"/>
      <c r="I223" s="30"/>
      <c r="J223" s="9" t="s">
        <v>249</v>
      </c>
      <c r="K223" s="3"/>
      <c r="L223" s="3"/>
      <c r="M223" s="15"/>
      <c r="N223" s="15"/>
      <c r="O223" s="15"/>
      <c r="P223" s="15"/>
      <c r="Q223" s="15"/>
      <c r="R223" s="15"/>
      <c r="S223" s="15"/>
      <c r="T223" s="15"/>
      <c r="U223" s="15"/>
      <c r="V223" s="15"/>
      <c r="W223" s="15"/>
      <c r="X223" s="15"/>
      <c r="Y223" s="15"/>
      <c r="Z223" s="15"/>
      <c r="AA223" s="17"/>
      <c r="AB223" s="15">
        <f ca="1">ROUND(SUM(I183,I157,I187:I190,I195:I206,I213:I217,-I204,-I206)*C220*D220*0.0001,0)</f>
        <v>4664</v>
      </c>
    </row>
    <row r="224" spans="1:35" ht="15.4">
      <c r="A224" s="34"/>
      <c r="B224" s="23"/>
      <c r="C224" s="23"/>
      <c r="D224" s="23"/>
      <c r="E224" s="97"/>
      <c r="F224" s="32"/>
      <c r="G224" s="32"/>
      <c r="H224" s="31"/>
      <c r="I224" s="28"/>
      <c r="J224" s="9" t="s">
        <v>250</v>
      </c>
      <c r="K224" s="3"/>
      <c r="L224" s="3"/>
      <c r="M224" s="15"/>
      <c r="N224" s="15"/>
      <c r="O224" s="15"/>
      <c r="P224" s="15"/>
      <c r="Q224" s="15"/>
      <c r="R224" s="15"/>
      <c r="S224" s="15"/>
      <c r="T224" s="15"/>
      <c r="U224" s="15"/>
      <c r="V224" s="15"/>
      <c r="W224" s="15"/>
      <c r="X224" s="15"/>
      <c r="Y224" s="15"/>
      <c r="Z224" s="15"/>
      <c r="AA224" s="17"/>
      <c r="AB224" s="15" t="str">
        <f>" "&amp;FIXED(E5,0,TRUE)&amp;" Ewes"</f>
        <v xml:space="preserve"> 400 Ewes</v>
      </c>
    </row>
    <row r="225" spans="1:28" ht="15.4">
      <c r="A225" s="26"/>
      <c r="B225" s="23"/>
      <c r="C225" s="49"/>
      <c r="D225" s="23"/>
      <c r="E225" s="97"/>
      <c r="F225" s="32"/>
      <c r="G225" s="32"/>
      <c r="H225" s="31"/>
      <c r="I225" s="30"/>
      <c r="J225" s="9"/>
      <c r="K225" s="3"/>
      <c r="L225" s="3"/>
      <c r="M225" s="15"/>
      <c r="N225" s="15"/>
      <c r="O225" s="15"/>
      <c r="P225" s="15"/>
      <c r="Q225" s="15"/>
      <c r="R225" s="15"/>
      <c r="S225" s="15"/>
      <c r="T225" s="15"/>
      <c r="U225" s="15"/>
      <c r="V225" s="15"/>
      <c r="W225" s="15"/>
      <c r="X225" s="15"/>
      <c r="Y225" s="15"/>
      <c r="Z225" s="15"/>
      <c r="AA225" s="17"/>
      <c r="AB225" s="15">
        <f ca="1">IF(L169=0,0,HLOOKUP(A2,INDIRECT(L32),9,FALSE)*INDIRECT(L169)*0.01)</f>
        <v>0</v>
      </c>
    </row>
    <row r="226" spans="1:28" ht="15.4">
      <c r="A226" s="34"/>
      <c r="B226" s="23"/>
      <c r="C226" s="23"/>
      <c r="D226" s="23"/>
      <c r="E226" s="97"/>
      <c r="F226" s="31"/>
      <c r="G226" s="31"/>
      <c r="H226" s="32"/>
      <c r="I226" s="56"/>
      <c r="J226" s="9"/>
      <c r="K226" s="3"/>
      <c r="L226" s="3"/>
      <c r="M226" s="15"/>
      <c r="N226" s="15"/>
      <c r="O226" s="15"/>
      <c r="P226" s="15"/>
      <c r="Q226" s="15"/>
      <c r="R226" s="15"/>
      <c r="S226" s="15"/>
      <c r="T226" s="15"/>
      <c r="U226" s="15"/>
      <c r="V226" s="15"/>
      <c r="W226" s="15"/>
      <c r="X226" s="15"/>
      <c r="Y226" s="15"/>
      <c r="Z226" s="15"/>
      <c r="AA226" s="17"/>
      <c r="AB226" s="15">
        <f ca="1">I229/E5</f>
        <v>49.212873000000002</v>
      </c>
    </row>
    <row r="227" spans="1:28" ht="15.4">
      <c r="A227" s="34"/>
      <c r="B227" s="23"/>
      <c r="C227" s="31"/>
      <c r="D227" s="36" t="s">
        <v>201</v>
      </c>
      <c r="E227" s="97" t="s">
        <v>238</v>
      </c>
      <c r="F227" s="32"/>
      <c r="G227" s="32"/>
      <c r="H227" s="43"/>
      <c r="I227" s="39" t="s">
        <v>99</v>
      </c>
      <c r="J227" s="9"/>
      <c r="K227" s="3"/>
      <c r="L227" s="3"/>
      <c r="M227" s="15"/>
      <c r="N227" s="15"/>
      <c r="O227" s="15"/>
      <c r="P227" s="15"/>
      <c r="Q227" s="15"/>
      <c r="R227" s="15"/>
      <c r="S227" s="15"/>
      <c r="T227" s="15"/>
      <c r="U227" s="15"/>
      <c r="V227" s="15"/>
      <c r="W227" s="15"/>
      <c r="X227" s="15"/>
      <c r="Y227" s="15"/>
      <c r="Z227" s="15"/>
      <c r="AA227" s="17"/>
      <c r="AB227" s="15">
        <f ca="1">IF(E229=0,D229*E5,IF(INDIRECT(L169)&gt;0,E229,D229*E5))</f>
        <v>19685.1492</v>
      </c>
    </row>
    <row r="228" spans="1:28" ht="15.4">
      <c r="A228" s="26" t="s">
        <v>242</v>
      </c>
      <c r="B228" s="23"/>
      <c r="C228" s="23"/>
      <c r="D228" s="36" t="s">
        <v>239</v>
      </c>
      <c r="E228" s="97" t="s">
        <v>240</v>
      </c>
      <c r="F228" s="32"/>
      <c r="G228" s="32"/>
      <c r="H228" s="36" t="s">
        <v>103</v>
      </c>
      <c r="I228" s="39" t="str">
        <f>AB224</f>
        <v xml:space="preserve"> 400 Ewes</v>
      </c>
      <c r="J228" s="9"/>
      <c r="K228" s="3"/>
      <c r="L228" s="3"/>
      <c r="M228" s="15"/>
      <c r="N228" s="15"/>
      <c r="O228" s="15"/>
      <c r="P228" s="15"/>
      <c r="Q228" s="15"/>
      <c r="R228" s="15"/>
      <c r="S228" s="15"/>
      <c r="T228" s="15"/>
      <c r="U228" s="15"/>
      <c r="V228" s="15"/>
      <c r="W228" s="15"/>
      <c r="X228" s="15"/>
      <c r="Y228" s="15"/>
      <c r="Z228" s="15"/>
      <c r="AA228" s="17"/>
      <c r="AB228" s="15">
        <f ca="1">IF(L170=0,0,HLOOKUP(A2,INDIRECT(L32),10,FALSE)*INDIRECT(L170)*0.01)</f>
        <v>0</v>
      </c>
    </row>
    <row r="229" spans="1:28" ht="15.4">
      <c r="A229" s="26" t="s">
        <v>245</v>
      </c>
      <c r="B229" s="23"/>
      <c r="C229" s="23"/>
      <c r="D229" s="40">
        <f>CapitalInvestment!F42</f>
        <v>49.212873000000002</v>
      </c>
      <c r="E229" s="22">
        <f ca="1">AB225</f>
        <v>0</v>
      </c>
      <c r="F229" s="32"/>
      <c r="G229" s="32"/>
      <c r="H229" s="41">
        <f ca="1">AB226</f>
        <v>49.212873000000002</v>
      </c>
      <c r="I229" s="42">
        <f ca="1">AB227</f>
        <v>19685.1492</v>
      </c>
      <c r="J229" s="9"/>
      <c r="K229" s="3"/>
      <c r="L229" s="3"/>
      <c r="M229" s="15"/>
      <c r="N229" s="15"/>
      <c r="O229" s="15"/>
      <c r="P229" s="15"/>
      <c r="Q229" s="15"/>
      <c r="R229" s="15"/>
      <c r="S229" s="15"/>
      <c r="T229" s="15"/>
      <c r="U229" s="15"/>
      <c r="V229" s="15"/>
      <c r="W229" s="15"/>
      <c r="X229" s="15"/>
      <c r="Y229" s="15"/>
      <c r="Z229" s="15"/>
      <c r="AA229" s="17"/>
      <c r="AB229" s="15">
        <f ca="1">I230/E5</f>
        <v>30.103858799999998</v>
      </c>
    </row>
    <row r="230" spans="1:28" ht="15.4">
      <c r="A230" s="26" t="s">
        <v>251</v>
      </c>
      <c r="B230" s="23"/>
      <c r="C230" s="31"/>
      <c r="D230" s="40">
        <f>CapitalInvestment!F50</f>
        <v>30.103858799999998</v>
      </c>
      <c r="E230" s="22">
        <f ca="1">AB228</f>
        <v>0</v>
      </c>
      <c r="F230" s="32"/>
      <c r="G230" s="32"/>
      <c r="H230" s="41">
        <f ca="1">AB229</f>
        <v>30.103858799999998</v>
      </c>
      <c r="I230" s="42">
        <f ca="1">AB230</f>
        <v>12041.543519999999</v>
      </c>
      <c r="J230" s="9"/>
      <c r="K230" s="3"/>
      <c r="L230" s="3"/>
      <c r="M230" s="15"/>
      <c r="N230" s="15"/>
      <c r="O230" s="15"/>
      <c r="P230" s="15"/>
      <c r="Q230" s="15"/>
      <c r="R230" s="15"/>
      <c r="S230" s="15"/>
      <c r="T230" s="15"/>
      <c r="U230" s="15"/>
      <c r="V230" s="15"/>
      <c r="W230" s="15"/>
      <c r="X230" s="15"/>
      <c r="Y230" s="15"/>
      <c r="Z230" s="15"/>
      <c r="AA230" s="17"/>
      <c r="AB230" s="15">
        <f ca="1">IF(E230=0,D230*E5,IF(INDIRECT(L170)&gt;0,E230,D230*E5))</f>
        <v>12041.543519999999</v>
      </c>
    </row>
    <row r="231" spans="1:28" ht="15.4">
      <c r="A231" s="26" t="s">
        <v>247</v>
      </c>
      <c r="B231" s="23"/>
      <c r="C231" s="31"/>
      <c r="D231" s="40">
        <f>CapitalInvestment!F53+CapitalInvestment!F54</f>
        <v>3.8012975999999998</v>
      </c>
      <c r="E231" s="22">
        <f ca="1">AB231</f>
        <v>0</v>
      </c>
      <c r="F231" s="32"/>
      <c r="G231" s="32"/>
      <c r="H231" s="41">
        <f ca="1">AB232</f>
        <v>3.8012975999999998</v>
      </c>
      <c r="I231" s="42">
        <f ca="1">AB233</f>
        <v>1520.5190399999999</v>
      </c>
      <c r="J231" s="9"/>
      <c r="K231" s="3"/>
      <c r="L231" s="3"/>
      <c r="M231" s="15"/>
      <c r="N231" s="15"/>
      <c r="O231" s="15"/>
      <c r="P231" s="15"/>
      <c r="Q231" s="15"/>
      <c r="R231" s="15"/>
      <c r="S231" s="15"/>
      <c r="T231" s="15"/>
      <c r="U231" s="15"/>
      <c r="V231" s="15"/>
      <c r="W231" s="15"/>
      <c r="X231" s="15"/>
      <c r="Y231" s="15"/>
      <c r="Z231" s="15"/>
      <c r="AA231" s="17"/>
      <c r="AB231" s="15">
        <f ca="1">IF(L171=0,0,HLOOKUP(A2,INDIRECT(L32),11,FALSE)*INDIRECT(L171)*0.01)</f>
        <v>0</v>
      </c>
    </row>
    <row r="232" spans="1:28" ht="15.4">
      <c r="A232" s="26" t="s">
        <v>252</v>
      </c>
      <c r="B232" s="32"/>
      <c r="C232" s="31"/>
      <c r="D232" s="40">
        <v>0</v>
      </c>
      <c r="E232" s="22">
        <f ca="1">AB234</f>
        <v>0</v>
      </c>
      <c r="F232" s="31"/>
      <c r="G232" s="31"/>
      <c r="H232" s="41">
        <f ca="1">AB235</f>
        <v>0</v>
      </c>
      <c r="I232" s="42">
        <f ca="1">AB236</f>
        <v>0</v>
      </c>
      <c r="J232" s="9"/>
      <c r="K232" s="3"/>
      <c r="L232" s="3"/>
      <c r="M232" s="15"/>
      <c r="N232" s="15"/>
      <c r="O232" s="15"/>
      <c r="P232" s="15"/>
      <c r="Q232" s="15"/>
      <c r="R232" s="15"/>
      <c r="S232" s="15"/>
      <c r="T232" s="15"/>
      <c r="U232" s="15"/>
      <c r="V232" s="15"/>
      <c r="W232" s="15"/>
      <c r="X232" s="15"/>
      <c r="Y232" s="15"/>
      <c r="Z232" s="15"/>
      <c r="AA232" s="17"/>
      <c r="AB232" s="15">
        <f ca="1">I231/E5</f>
        <v>3.8012975999999998</v>
      </c>
    </row>
    <row r="233" spans="1:28" ht="15.4">
      <c r="A233" s="34"/>
      <c r="B233" s="23"/>
      <c r="C233" s="31"/>
      <c r="D233" s="23"/>
      <c r="E233" s="32"/>
      <c r="F233" s="32"/>
      <c r="G233" s="32"/>
      <c r="H233" s="36" t="s">
        <v>114</v>
      </c>
      <c r="I233" s="39" t="s">
        <v>123</v>
      </c>
      <c r="J233" s="9"/>
      <c r="K233" s="3"/>
      <c r="L233" s="3"/>
      <c r="M233" s="15"/>
      <c r="N233" s="15"/>
      <c r="O233" s="15"/>
      <c r="P233" s="15"/>
      <c r="Q233" s="15"/>
      <c r="R233" s="15"/>
      <c r="S233" s="15"/>
      <c r="T233" s="15"/>
      <c r="U233" s="15"/>
      <c r="V233" s="15"/>
      <c r="W233" s="15"/>
      <c r="X233" s="15"/>
      <c r="Y233" s="15"/>
      <c r="Z233" s="15"/>
      <c r="AA233" s="17"/>
      <c r="AB233" s="15">
        <f ca="1">IF(E231=0,D231*E5,IF(INDIRECT(L171)&gt;0,E231,D231*E5))</f>
        <v>1520.5190399999999</v>
      </c>
    </row>
    <row r="234" spans="1:28" ht="15.4">
      <c r="A234" s="26" t="s">
        <v>253</v>
      </c>
      <c r="B234" s="23"/>
      <c r="C234" s="31"/>
      <c r="D234" s="23"/>
      <c r="E234" s="32"/>
      <c r="F234" s="32"/>
      <c r="G234" s="32"/>
      <c r="H234" s="41">
        <f ca="1">AB237</f>
        <v>83.118029399999998</v>
      </c>
      <c r="I234" s="42">
        <f ca="1">AB238</f>
        <v>33247.211759999998</v>
      </c>
      <c r="J234" s="9"/>
      <c r="K234" s="3"/>
      <c r="L234" s="3"/>
      <c r="M234" s="15"/>
      <c r="N234" s="15"/>
      <c r="O234" s="15"/>
      <c r="P234" s="15"/>
      <c r="Q234" s="15"/>
      <c r="R234" s="15"/>
      <c r="S234" s="15"/>
      <c r="T234" s="15"/>
      <c r="U234" s="15"/>
      <c r="V234" s="15"/>
      <c r="W234" s="15"/>
      <c r="X234" s="15"/>
      <c r="Y234" s="15"/>
      <c r="Z234" s="15"/>
      <c r="AA234" s="17"/>
      <c r="AB234" s="15">
        <f ca="1">IF(L172=0,0,HLOOKUP(A2,INDIRECT(L32),12,FALSE)*INDIRECT(L172)*0.01)</f>
        <v>0</v>
      </c>
    </row>
    <row r="235" spans="1:28" ht="15.4">
      <c r="A235" s="34"/>
      <c r="B235" s="23"/>
      <c r="C235" s="23"/>
      <c r="D235" s="23"/>
      <c r="E235" s="23"/>
      <c r="F235" s="31"/>
      <c r="G235" s="31"/>
      <c r="H235" s="32"/>
      <c r="I235" s="30"/>
      <c r="J235" s="9"/>
      <c r="K235" s="3"/>
      <c r="L235" s="3"/>
      <c r="M235" s="15"/>
      <c r="N235" s="15"/>
      <c r="O235" s="15"/>
      <c r="P235" s="15"/>
      <c r="Q235" s="15"/>
      <c r="R235" s="15"/>
      <c r="S235" s="15"/>
      <c r="T235" s="15"/>
      <c r="U235" s="15"/>
      <c r="V235" s="15"/>
      <c r="W235" s="15"/>
      <c r="X235" s="15"/>
      <c r="Y235" s="15"/>
      <c r="Z235" s="15"/>
      <c r="AA235" s="17"/>
      <c r="AB235" s="15">
        <f ca="1">I232/E5</f>
        <v>0</v>
      </c>
    </row>
    <row r="236" spans="1:28" ht="15.4">
      <c r="A236" s="50"/>
      <c r="B236" s="50"/>
      <c r="C236" s="50"/>
      <c r="D236" s="50"/>
      <c r="E236" s="50"/>
      <c r="F236" s="50"/>
      <c r="G236" s="50"/>
      <c r="H236" s="50"/>
      <c r="I236" s="50"/>
      <c r="J236" s="9"/>
      <c r="K236" s="3"/>
      <c r="L236" s="3"/>
      <c r="M236" s="15"/>
      <c r="N236" s="15"/>
      <c r="O236" s="15"/>
      <c r="P236" s="15"/>
      <c r="Q236" s="15"/>
      <c r="R236" s="15"/>
      <c r="S236" s="15"/>
      <c r="T236" s="15"/>
      <c r="U236" s="15"/>
      <c r="V236" s="15"/>
      <c r="W236" s="15"/>
      <c r="X236" s="15"/>
      <c r="Y236" s="15"/>
      <c r="Z236" s="15"/>
      <c r="AA236" s="17"/>
      <c r="AB236" s="15">
        <f ca="1">IF(E232=0,D232*E5,IF(INDIRECT(L172)&gt;0,E232,D232*E5))</f>
        <v>0</v>
      </c>
    </row>
    <row r="237" spans="1:28" ht="15.4">
      <c r="A237" s="26" t="s">
        <v>254</v>
      </c>
      <c r="B237" s="23"/>
      <c r="C237" s="23"/>
      <c r="D237" s="36" t="s">
        <v>103</v>
      </c>
      <c r="E237" s="36" t="s">
        <v>99</v>
      </c>
      <c r="F237" s="32"/>
      <c r="G237" s="32"/>
      <c r="H237" s="31"/>
      <c r="I237" s="30"/>
      <c r="J237" s="9"/>
      <c r="K237" s="3"/>
      <c r="L237" s="3"/>
      <c r="M237" s="15"/>
      <c r="N237" s="15"/>
      <c r="O237" s="15"/>
      <c r="P237" s="15"/>
      <c r="Q237" s="15"/>
      <c r="R237" s="15"/>
      <c r="S237" s="15"/>
      <c r="T237" s="15"/>
      <c r="U237" s="15"/>
      <c r="V237" s="15"/>
      <c r="W237" s="15"/>
      <c r="X237" s="15"/>
      <c r="Y237" s="15"/>
      <c r="Z237" s="15"/>
      <c r="AA237" s="17"/>
      <c r="AB237" s="15">
        <f ca="1">I234/E5</f>
        <v>83.118029399999998</v>
      </c>
    </row>
    <row r="238" spans="1:28" ht="15.4">
      <c r="A238" s="26" t="s">
        <v>255</v>
      </c>
      <c r="B238" s="23"/>
      <c r="C238" s="23"/>
      <c r="D238" s="41">
        <f>AB239</f>
        <v>561.93282275000013</v>
      </c>
      <c r="E238" s="43">
        <f>AB240</f>
        <v>224773.12910000005</v>
      </c>
      <c r="F238" s="32"/>
      <c r="G238" s="32"/>
      <c r="H238" s="31"/>
      <c r="I238" s="30"/>
      <c r="J238" s="9"/>
      <c r="K238" s="3"/>
      <c r="L238" s="3"/>
      <c r="M238" s="15"/>
      <c r="N238" s="15"/>
      <c r="O238" s="15"/>
      <c r="P238" s="15"/>
      <c r="Q238" s="15"/>
      <c r="R238" s="15"/>
      <c r="S238" s="15"/>
      <c r="T238" s="15"/>
      <c r="U238" s="15"/>
      <c r="V238" s="15"/>
      <c r="W238" s="15"/>
      <c r="X238" s="15"/>
      <c r="Y238" s="15"/>
      <c r="Z238" s="15"/>
      <c r="AA238" s="17"/>
      <c r="AB238" s="17">
        <f ca="1">SUM(I229:I232)</f>
        <v>33247.211759999998</v>
      </c>
    </row>
    <row r="239" spans="1:28" ht="15.4">
      <c r="A239" s="26" t="s">
        <v>256</v>
      </c>
      <c r="B239" s="23"/>
      <c r="C239" s="23"/>
      <c r="D239" s="41">
        <f ca="1">AA240</f>
        <v>504.17997109939819</v>
      </c>
      <c r="E239" s="43">
        <f ca="1">AA241</f>
        <v>201671.98843975927</v>
      </c>
      <c r="F239" s="32"/>
      <c r="G239" s="32"/>
      <c r="H239" s="31"/>
      <c r="I239" s="30"/>
      <c r="J239" s="9"/>
      <c r="K239" s="3"/>
      <c r="L239" s="3"/>
      <c r="M239" s="15"/>
      <c r="N239" s="15"/>
      <c r="O239" s="15"/>
      <c r="P239" s="15"/>
      <c r="Q239" s="15"/>
      <c r="R239" s="15"/>
      <c r="S239" s="15"/>
      <c r="T239" s="15"/>
      <c r="U239" s="15"/>
      <c r="V239" s="15"/>
      <c r="W239" s="15"/>
      <c r="X239" s="15"/>
      <c r="Y239" s="15"/>
      <c r="Z239" s="15"/>
      <c r="AA239" s="17"/>
      <c r="AB239" s="15">
        <f>E238/E5</f>
        <v>561.93282275000013</v>
      </c>
    </row>
    <row r="240" spans="1:28" ht="15.4">
      <c r="A240" s="34"/>
      <c r="B240" s="23"/>
      <c r="C240" s="23"/>
      <c r="D240" s="36" t="s">
        <v>195</v>
      </c>
      <c r="E240" s="36" t="s">
        <v>195</v>
      </c>
      <c r="F240" s="32"/>
      <c r="G240" s="32"/>
      <c r="H240" s="31"/>
      <c r="I240" s="30"/>
      <c r="J240" s="9">
        <f ca="1">AB314</f>
        <v>0.38876067733761849</v>
      </c>
      <c r="K240" s="3"/>
      <c r="L240" s="3"/>
      <c r="M240" s="15"/>
      <c r="N240" s="15"/>
      <c r="O240" s="15"/>
      <c r="P240" s="15"/>
      <c r="Q240" s="15"/>
      <c r="R240" s="15"/>
      <c r="S240" s="15"/>
      <c r="T240" s="15"/>
      <c r="U240" s="15"/>
      <c r="V240" s="15"/>
      <c r="W240" s="15"/>
      <c r="X240" s="15"/>
      <c r="Y240" s="15"/>
      <c r="Z240" s="15"/>
      <c r="AA240" s="15">
        <f ca="1">E239/E5</f>
        <v>504.17997109939819</v>
      </c>
      <c r="AB240" s="17">
        <f>I44</f>
        <v>224773.12910000005</v>
      </c>
    </row>
    <row r="241" spans="1:29" ht="15.4">
      <c r="A241" s="26" t="s">
        <v>257</v>
      </c>
      <c r="B241" s="23"/>
      <c r="C241" s="23"/>
      <c r="D241" s="41">
        <f ca="1">AB279</f>
        <v>57.752851650601954</v>
      </c>
      <c r="E241" s="43">
        <f ca="1">AB280</f>
        <v>23101.140660240781</v>
      </c>
      <c r="F241" s="32"/>
      <c r="G241" s="32"/>
      <c r="H241" s="31"/>
      <c r="I241" s="30"/>
      <c r="J241" s="3"/>
      <c r="K241" s="3"/>
      <c r="L241" s="3"/>
      <c r="M241" s="15"/>
      <c r="N241" s="15"/>
      <c r="O241" s="15"/>
      <c r="P241" s="15"/>
      <c r="Q241" s="15"/>
      <c r="R241" s="15"/>
      <c r="S241" s="15"/>
      <c r="T241" s="15"/>
      <c r="U241" s="15"/>
      <c r="V241" s="15"/>
      <c r="W241" s="15"/>
      <c r="X241" s="15"/>
      <c r="Y241" s="15"/>
      <c r="Z241" s="15"/>
      <c r="AA241" s="17">
        <f ca="1">I222</f>
        <v>201671.98843975927</v>
      </c>
      <c r="AB241" s="17"/>
    </row>
    <row r="242" spans="1:29" ht="15.4">
      <c r="A242" s="26" t="s">
        <v>258</v>
      </c>
      <c r="B242" s="23"/>
      <c r="C242" s="31"/>
      <c r="D242" s="41">
        <f ca="1">AB281</f>
        <v>83.118029399999998</v>
      </c>
      <c r="E242" s="43">
        <f ca="1">AB282</f>
        <v>33247.211759999998</v>
      </c>
      <c r="F242" s="31"/>
      <c r="G242" s="31"/>
      <c r="H242" s="32"/>
      <c r="I242" s="57"/>
      <c r="J242" s="1"/>
      <c r="K242" s="3"/>
      <c r="L242" s="3"/>
      <c r="M242" s="3"/>
      <c r="N242" s="15"/>
      <c r="O242" s="15"/>
      <c r="P242" s="15"/>
      <c r="Q242" s="15"/>
      <c r="R242" s="15"/>
      <c r="S242" s="15"/>
      <c r="T242" s="15"/>
      <c r="U242" s="15"/>
      <c r="V242" s="15"/>
      <c r="W242" s="15"/>
      <c r="X242" s="15"/>
      <c r="Y242" s="15"/>
      <c r="Z242" s="15"/>
      <c r="AA242" s="15"/>
      <c r="AB242" s="17"/>
    </row>
    <row r="243" spans="1:29" ht="15.4">
      <c r="A243" s="34"/>
      <c r="B243" s="23"/>
      <c r="C243" s="31"/>
      <c r="D243" s="36" t="s">
        <v>195</v>
      </c>
      <c r="E243" s="36" t="s">
        <v>195</v>
      </c>
      <c r="F243" s="32"/>
      <c r="G243" s="32"/>
      <c r="H243" s="31"/>
      <c r="I243" s="30"/>
      <c r="J243" s="1"/>
      <c r="K243" s="3"/>
      <c r="L243" s="3"/>
      <c r="M243" s="3"/>
      <c r="N243" s="15"/>
      <c r="O243" s="15"/>
      <c r="P243" s="15"/>
      <c r="Q243" s="15"/>
      <c r="R243" s="15"/>
      <c r="S243" s="15"/>
      <c r="T243" s="15"/>
      <c r="U243" s="15"/>
      <c r="V243" s="15"/>
      <c r="W243" s="15"/>
      <c r="X243" s="15"/>
      <c r="Y243" s="15"/>
      <c r="Z243" s="15"/>
      <c r="AA243" s="15"/>
    </row>
    <row r="244" spans="1:29" ht="15.4">
      <c r="A244" s="26" t="s">
        <v>259</v>
      </c>
      <c r="B244" s="23"/>
      <c r="C244" s="31"/>
      <c r="D244" s="41">
        <f ca="1">AB283</f>
        <v>-25.365177749398043</v>
      </c>
      <c r="E244" s="43">
        <f ca="1">AB284</f>
        <v>-10146.071099759218</v>
      </c>
      <c r="F244" s="32"/>
      <c r="G244" s="32"/>
      <c r="H244" s="31"/>
      <c r="I244" s="30"/>
      <c r="J244" s="6"/>
      <c r="K244" s="9"/>
      <c r="L244" s="3"/>
      <c r="M244" s="3"/>
      <c r="N244" s="15"/>
      <c r="O244" s="15"/>
      <c r="P244" s="15"/>
      <c r="Q244" s="15"/>
      <c r="R244" s="15"/>
      <c r="S244" s="15"/>
      <c r="T244" s="15"/>
      <c r="U244" s="15"/>
      <c r="V244" s="15"/>
      <c r="W244" s="15"/>
      <c r="X244" s="15"/>
      <c r="Y244" s="15"/>
      <c r="Z244" s="15"/>
      <c r="AA244" s="15"/>
    </row>
    <row r="245" spans="1:29" ht="15.4">
      <c r="A245" s="34"/>
      <c r="B245" s="23"/>
      <c r="C245" s="23"/>
      <c r="D245" s="31"/>
      <c r="E245" s="31"/>
      <c r="F245" s="31"/>
      <c r="G245" s="31"/>
      <c r="H245" s="32"/>
      <c r="I245" s="57"/>
      <c r="J245" s="6"/>
      <c r="K245" s="9"/>
      <c r="L245" s="3"/>
      <c r="M245" s="3"/>
      <c r="N245" s="15"/>
      <c r="O245" s="15"/>
      <c r="P245" s="15"/>
      <c r="Q245" s="15"/>
      <c r="R245" s="15"/>
      <c r="S245" s="15"/>
      <c r="T245" s="15"/>
      <c r="U245" s="15"/>
      <c r="V245" s="15"/>
      <c r="W245" s="15"/>
      <c r="X245" s="15"/>
      <c r="Y245" s="15"/>
      <c r="Z245" s="15"/>
      <c r="AA245" s="15"/>
    </row>
    <row r="246" spans="1:29" ht="15.4">
      <c r="A246" s="26"/>
      <c r="B246" s="23"/>
      <c r="C246" s="58"/>
      <c r="D246" s="23"/>
      <c r="E246" s="23"/>
      <c r="F246" s="32"/>
      <c r="G246" s="32"/>
      <c r="H246" s="31"/>
      <c r="I246" s="30"/>
      <c r="J246" s="6"/>
      <c r="K246" s="9"/>
      <c r="L246" s="9"/>
      <c r="M246" s="3"/>
      <c r="N246" s="15"/>
      <c r="O246" s="15"/>
      <c r="P246" s="15"/>
      <c r="Q246" s="15"/>
      <c r="R246" s="15"/>
      <c r="S246" s="15"/>
      <c r="T246" s="15"/>
      <c r="U246" s="15"/>
      <c r="V246" s="15"/>
      <c r="W246" s="15"/>
      <c r="X246" s="15"/>
      <c r="Y246" s="15"/>
      <c r="Z246" s="15"/>
      <c r="AA246" s="15"/>
    </row>
    <row r="247" spans="1:29" ht="15.4">
      <c r="A247" s="26" t="s">
        <v>260</v>
      </c>
      <c r="B247" s="23"/>
      <c r="C247" s="23"/>
      <c r="D247" s="23"/>
      <c r="E247" s="23"/>
      <c r="F247" s="36" t="s">
        <v>261</v>
      </c>
      <c r="G247" s="36"/>
      <c r="H247" s="31"/>
      <c r="I247" s="30"/>
      <c r="J247" s="6"/>
      <c r="K247" s="9"/>
      <c r="L247" s="9"/>
      <c r="M247" s="3"/>
      <c r="N247" s="15"/>
      <c r="O247" s="15"/>
      <c r="P247" s="15"/>
      <c r="Q247" s="15"/>
      <c r="R247" s="15"/>
      <c r="S247" s="15"/>
      <c r="T247" s="15"/>
      <c r="U247" s="15"/>
      <c r="V247" s="15"/>
      <c r="W247" s="15"/>
      <c r="X247" s="15"/>
      <c r="Y247" s="15"/>
      <c r="Z247" s="15"/>
      <c r="AA247" s="15"/>
      <c r="AC247" s="36" t="s">
        <v>262</v>
      </c>
    </row>
    <row r="248" spans="1:29" ht="15.4">
      <c r="A248" s="34"/>
      <c r="B248" s="18" t="s">
        <v>263</v>
      </c>
      <c r="C248" s="23"/>
      <c r="D248" s="18" t="s">
        <v>264</v>
      </c>
      <c r="E248" s="23"/>
      <c r="F248" s="41">
        <f ca="1">AB285</f>
        <v>239.61075256427921</v>
      </c>
      <c r="G248" s="41"/>
      <c r="H248" s="31"/>
      <c r="I248" s="30"/>
      <c r="J248" s="6"/>
      <c r="K248" s="9"/>
      <c r="L248" s="9"/>
      <c r="M248" s="3"/>
      <c r="N248" s="15"/>
      <c r="O248" s="15"/>
      <c r="P248" s="15"/>
      <c r="Q248" s="15"/>
      <c r="R248" s="15"/>
      <c r="S248" s="15"/>
      <c r="T248" s="15"/>
      <c r="U248" s="15"/>
      <c r="V248" s="15"/>
      <c r="W248" s="15"/>
      <c r="X248" s="15"/>
      <c r="Y248" s="15"/>
      <c r="Z248" s="15"/>
      <c r="AA248" s="15"/>
      <c r="AC248" s="41">
        <f ca="1">AB286</f>
        <v>141.79213073092177</v>
      </c>
    </row>
    <row r="249" spans="1:29" ht="15.4">
      <c r="A249" s="34"/>
      <c r="B249" s="23"/>
      <c r="C249" s="23"/>
      <c r="D249" s="18" t="s">
        <v>265</v>
      </c>
      <c r="E249" s="23"/>
      <c r="F249" s="41">
        <f ca="1">AB287</f>
        <v>39.501715097420011</v>
      </c>
      <c r="G249" s="41"/>
      <c r="H249" s="31"/>
      <c r="I249" s="30"/>
      <c r="J249" s="1"/>
      <c r="K249" s="3"/>
      <c r="L249" s="9"/>
      <c r="M249" s="3"/>
      <c r="N249" s="15"/>
      <c r="O249" s="15"/>
      <c r="P249" s="15"/>
      <c r="Q249" s="15"/>
      <c r="R249" s="15"/>
      <c r="S249" s="15"/>
      <c r="T249" s="15"/>
      <c r="U249" s="15"/>
      <c r="V249" s="15"/>
      <c r="W249" s="15"/>
      <c r="X249" s="15"/>
      <c r="Y249" s="15"/>
      <c r="Z249" s="15"/>
      <c r="AA249" s="15"/>
      <c r="AC249" s="41">
        <f ca="1">AB288</f>
        <v>23.37554676176914</v>
      </c>
    </row>
    <row r="250" spans="1:29" ht="15.4">
      <c r="A250" s="34"/>
      <c r="B250" s="23"/>
      <c r="C250" s="23"/>
      <c r="D250" s="23"/>
      <c r="E250" s="23"/>
      <c r="F250" s="36" t="s">
        <v>195</v>
      </c>
      <c r="G250" s="36"/>
      <c r="H250" s="31"/>
      <c r="I250" s="54"/>
      <c r="J250" s="1"/>
      <c r="K250" s="3"/>
      <c r="L250" s="9"/>
      <c r="M250" s="3"/>
      <c r="N250" s="15"/>
      <c r="O250" s="15"/>
      <c r="P250" s="15"/>
      <c r="Q250" s="15"/>
      <c r="R250" s="15"/>
      <c r="S250" s="15"/>
      <c r="T250" s="15"/>
      <c r="U250" s="15"/>
      <c r="V250" s="15"/>
      <c r="W250" s="15"/>
      <c r="X250" s="15"/>
      <c r="Y250" s="15"/>
      <c r="Z250" s="15"/>
      <c r="AA250" s="15"/>
      <c r="AC250" s="36" t="s">
        <v>195</v>
      </c>
    </row>
    <row r="251" spans="1:29" ht="15.4">
      <c r="A251" s="34"/>
      <c r="B251" s="23"/>
      <c r="C251" s="23"/>
      <c r="D251" s="18" t="s">
        <v>266</v>
      </c>
      <c r="E251" s="23"/>
      <c r="F251" s="41">
        <f ca="1">AB289</f>
        <v>279.11246766169921</v>
      </c>
      <c r="G251" s="41"/>
      <c r="H251" s="31"/>
      <c r="I251" s="30"/>
      <c r="J251" s="1"/>
      <c r="K251" s="3"/>
      <c r="L251" s="3"/>
      <c r="M251" s="3"/>
      <c r="N251" s="15"/>
      <c r="O251" s="15"/>
      <c r="P251" s="15"/>
      <c r="Q251" s="15"/>
      <c r="R251" s="15"/>
      <c r="S251" s="15"/>
      <c r="T251" s="15"/>
      <c r="U251" s="15"/>
      <c r="V251" s="15"/>
      <c r="W251" s="15"/>
      <c r="X251" s="15"/>
      <c r="Y251" s="15"/>
      <c r="Z251" s="15"/>
      <c r="AA251" s="15"/>
      <c r="AC251" s="41">
        <f ca="1">AB290</f>
        <v>165.1676774926909</v>
      </c>
    </row>
    <row r="252" spans="1:29" ht="15.4">
      <c r="A252" s="50"/>
      <c r="B252" s="50"/>
      <c r="C252" s="50"/>
      <c r="D252" s="50"/>
      <c r="E252" s="50"/>
      <c r="F252" s="50"/>
      <c r="G252" s="50"/>
      <c r="H252" s="50"/>
      <c r="I252" s="50"/>
      <c r="J252" s="6"/>
      <c r="K252" s="9"/>
      <c r="L252" s="3"/>
      <c r="M252" s="3"/>
      <c r="N252" s="15"/>
      <c r="O252" s="15"/>
      <c r="P252" s="15"/>
      <c r="Q252" s="15"/>
      <c r="R252" s="15"/>
      <c r="S252" s="15"/>
      <c r="T252" s="15"/>
      <c r="U252" s="15"/>
      <c r="V252" s="15"/>
      <c r="W252" s="15"/>
      <c r="X252" s="15"/>
      <c r="Y252" s="15"/>
      <c r="Z252" s="15"/>
      <c r="AA252" s="15"/>
    </row>
    <row r="253" spans="1:29" ht="15.4">
      <c r="A253" s="26" t="s">
        <v>267</v>
      </c>
      <c r="B253" s="23"/>
      <c r="C253" s="23"/>
      <c r="D253" s="36"/>
      <c r="E253" s="36"/>
      <c r="F253" s="32"/>
      <c r="G253" s="32"/>
      <c r="H253" s="31"/>
      <c r="I253" s="30"/>
      <c r="J253" s="6"/>
      <c r="K253" s="9"/>
      <c r="L253" s="3"/>
      <c r="M253" s="3"/>
      <c r="N253" s="15"/>
      <c r="O253" s="15"/>
      <c r="P253" s="15"/>
      <c r="Q253" s="15"/>
      <c r="R253" s="15"/>
      <c r="S253" s="15"/>
      <c r="T253" s="15"/>
      <c r="U253" s="15"/>
      <c r="V253" s="15"/>
      <c r="W253" s="15"/>
      <c r="X253" s="15"/>
      <c r="Y253" s="15"/>
      <c r="Z253" s="15"/>
      <c r="AA253" s="15"/>
    </row>
    <row r="254" spans="1:29" ht="15.4">
      <c r="A254" s="34"/>
      <c r="B254" s="18" t="s">
        <v>268</v>
      </c>
      <c r="C254" s="23"/>
      <c r="D254" s="23"/>
      <c r="E254" s="23"/>
      <c r="F254" s="32"/>
      <c r="G254" s="32"/>
      <c r="H254" s="59">
        <f ca="1">AB292</f>
        <v>0</v>
      </c>
      <c r="I254" s="60" t="s">
        <v>269</v>
      </c>
      <c r="J254" s="6"/>
      <c r="K254" s="9"/>
      <c r="L254" s="9"/>
      <c r="M254" s="3"/>
      <c r="N254" s="15"/>
      <c r="O254" s="15"/>
      <c r="P254" s="15"/>
      <c r="Q254" s="15"/>
      <c r="R254" s="15"/>
      <c r="S254" s="15"/>
      <c r="T254" s="15"/>
      <c r="U254" s="15"/>
      <c r="V254" s="15"/>
      <c r="W254" s="15"/>
      <c r="X254" s="15"/>
      <c r="Y254" s="15"/>
      <c r="Z254" s="15"/>
      <c r="AA254" s="15"/>
    </row>
    <row r="255" spans="1:29" ht="15.4">
      <c r="A255" s="34"/>
      <c r="B255" s="18" t="s">
        <v>270</v>
      </c>
      <c r="C255" s="23"/>
      <c r="D255" s="29">
        <v>0</v>
      </c>
      <c r="E255" s="18" t="s">
        <v>271</v>
      </c>
      <c r="F255" s="23"/>
      <c r="G255" s="23"/>
      <c r="H255" s="59">
        <f ca="1">AB294</f>
        <v>0.38876067733761849</v>
      </c>
      <c r="I255" s="60" t="s">
        <v>272</v>
      </c>
      <c r="J255" s="6"/>
      <c r="K255" s="9"/>
      <c r="L255" s="9"/>
      <c r="M255" s="3"/>
      <c r="N255" s="15"/>
      <c r="O255" s="15"/>
      <c r="P255" s="15"/>
      <c r="Q255" s="15"/>
      <c r="R255" s="15"/>
      <c r="S255" s="15"/>
      <c r="T255" s="15"/>
      <c r="U255" s="15"/>
      <c r="V255" s="15"/>
      <c r="W255" s="15"/>
      <c r="X255" s="15"/>
      <c r="Y255" s="15"/>
      <c r="Z255" s="15"/>
      <c r="AA255" s="15"/>
    </row>
    <row r="256" spans="1:29" ht="15.4">
      <c r="A256" s="34"/>
      <c r="B256" s="18"/>
      <c r="C256" s="23"/>
      <c r="D256" s="18"/>
      <c r="E256" s="18"/>
      <c r="F256" s="23"/>
      <c r="G256" s="23"/>
      <c r="H256" s="59"/>
      <c r="I256" s="60"/>
      <c r="J256" s="6"/>
      <c r="K256" s="9"/>
      <c r="L256" s="9"/>
      <c r="M256" s="3"/>
      <c r="N256" s="15"/>
      <c r="O256" s="15"/>
      <c r="P256" s="15"/>
      <c r="Q256" s="15"/>
      <c r="R256" s="15"/>
      <c r="S256" s="15"/>
      <c r="T256" s="15"/>
      <c r="U256" s="15"/>
      <c r="V256" s="15"/>
      <c r="W256" s="15"/>
      <c r="X256" s="15"/>
      <c r="Y256" s="15"/>
      <c r="Z256" s="15"/>
      <c r="AA256" s="15"/>
    </row>
    <row r="257" spans="1:27" ht="15.4">
      <c r="A257" s="34"/>
      <c r="B257" s="104" t="s">
        <v>273</v>
      </c>
      <c r="C257" s="23"/>
      <c r="D257" s="18" t="s">
        <v>274</v>
      </c>
      <c r="E257" s="23"/>
      <c r="F257" s="23"/>
      <c r="G257" s="23"/>
      <c r="H257" s="41">
        <f>AB295</f>
        <v>0.15975594532665421</v>
      </c>
      <c r="I257" s="205" t="str">
        <f>IF(H257&lt;=0.2499,"Low Risk",IF(AND(H257&gt;0.2499,H257&lt;0.4),"Moderate Risk","High Risk"))</f>
        <v>Low Risk</v>
      </c>
      <c r="J257" s="6"/>
      <c r="K257" s="9"/>
      <c r="L257" s="9"/>
      <c r="M257" s="3"/>
      <c r="N257" s="15"/>
      <c r="O257" s="15"/>
      <c r="P257" s="15"/>
      <c r="Q257" s="15"/>
      <c r="R257" s="15"/>
      <c r="S257" s="15"/>
      <c r="T257" s="15"/>
      <c r="U257" s="15"/>
      <c r="V257" s="15"/>
      <c r="W257" s="15"/>
      <c r="X257" s="15"/>
      <c r="Y257" s="15"/>
      <c r="Z257" s="15"/>
      <c r="AA257" s="15"/>
    </row>
    <row r="258" spans="1:27" ht="15.4">
      <c r="A258" s="34"/>
      <c r="B258" s="23"/>
      <c r="C258" s="31"/>
      <c r="D258" s="23"/>
      <c r="E258" s="23"/>
      <c r="F258" s="32"/>
      <c r="G258" s="32"/>
      <c r="H258" s="31"/>
      <c r="I258" s="30"/>
      <c r="J258" s="6"/>
      <c r="K258" s="9"/>
      <c r="L258" s="9"/>
      <c r="M258" s="3"/>
      <c r="N258" s="15"/>
      <c r="O258" s="15"/>
      <c r="P258" s="15"/>
      <c r="Q258" s="15"/>
      <c r="R258" s="15"/>
      <c r="S258" s="15"/>
      <c r="T258" s="15"/>
      <c r="U258" s="15"/>
      <c r="V258" s="15"/>
      <c r="W258" s="15"/>
      <c r="X258" s="15"/>
      <c r="Y258" s="15"/>
      <c r="Z258" s="15"/>
      <c r="AA258" s="15"/>
    </row>
    <row r="259" spans="1:27" ht="15.4">
      <c r="A259" s="34"/>
      <c r="B259" s="23"/>
      <c r="C259" s="36" t="s">
        <v>275</v>
      </c>
      <c r="D259" s="36"/>
      <c r="E259" s="36" t="s">
        <v>276</v>
      </c>
      <c r="F259" s="32"/>
      <c r="G259" s="32"/>
      <c r="H259" s="31"/>
      <c r="I259" s="60" t="s">
        <v>277</v>
      </c>
      <c r="J259" s="6"/>
      <c r="K259" s="9"/>
      <c r="L259" s="9"/>
      <c r="M259" s="3"/>
      <c r="N259" s="15"/>
      <c r="O259" s="15"/>
      <c r="P259" s="15"/>
      <c r="Q259" s="15"/>
      <c r="R259" s="15"/>
      <c r="S259" s="15"/>
      <c r="T259" s="15"/>
      <c r="U259" s="15"/>
      <c r="V259" s="15"/>
      <c r="W259" s="15"/>
      <c r="X259" s="15"/>
      <c r="Y259" s="15"/>
      <c r="Z259" s="15"/>
      <c r="AA259" s="15"/>
    </row>
    <row r="260" spans="1:27" ht="15.4">
      <c r="A260" s="34"/>
      <c r="B260" s="23"/>
      <c r="C260" s="43"/>
      <c r="D260" s="36"/>
      <c r="E260" s="36" t="s">
        <v>278</v>
      </c>
      <c r="F260" s="32"/>
      <c r="G260" s="32"/>
      <c r="H260" s="31"/>
      <c r="I260" s="60" t="s">
        <v>279</v>
      </c>
      <c r="J260" s="6"/>
      <c r="K260" s="9"/>
      <c r="L260" s="9"/>
      <c r="M260" s="3"/>
      <c r="N260" s="15"/>
      <c r="O260" s="15"/>
      <c r="P260" s="15"/>
      <c r="Q260" s="15"/>
      <c r="R260" s="15"/>
      <c r="S260" s="15"/>
      <c r="T260" s="15"/>
      <c r="U260" s="15"/>
      <c r="V260" s="15"/>
      <c r="W260" s="15"/>
      <c r="X260" s="15"/>
      <c r="Y260" s="15"/>
      <c r="Z260" s="15"/>
      <c r="AA260" s="15"/>
    </row>
    <row r="261" spans="1:27" ht="15.4">
      <c r="A261" s="34"/>
      <c r="B261" s="23"/>
      <c r="C261" s="36"/>
      <c r="D261" s="36"/>
      <c r="E261" s="36"/>
      <c r="F261" s="32"/>
      <c r="G261" s="32"/>
      <c r="H261" s="31"/>
      <c r="I261" s="60" t="s">
        <v>280</v>
      </c>
      <c r="J261" s="6"/>
      <c r="K261" s="9"/>
      <c r="L261" s="9"/>
      <c r="M261" s="3"/>
      <c r="N261" s="15"/>
      <c r="O261" s="15"/>
      <c r="P261" s="15"/>
      <c r="Q261" s="15"/>
      <c r="R261" s="15"/>
      <c r="S261" s="15"/>
      <c r="T261" s="15"/>
      <c r="U261" s="15"/>
      <c r="V261" s="15"/>
      <c r="W261" s="15"/>
      <c r="X261" s="15"/>
      <c r="Y261" s="15"/>
      <c r="Z261" s="15"/>
      <c r="AA261" s="15"/>
    </row>
    <row r="262" spans="1:27" ht="15.4">
      <c r="A262" s="34"/>
      <c r="B262" s="23"/>
      <c r="C262" s="43">
        <f ca="1">AB299</f>
        <v>61.713768279848409</v>
      </c>
      <c r="D262" s="36"/>
      <c r="E262" s="36" t="s">
        <v>281</v>
      </c>
      <c r="F262" s="32"/>
      <c r="G262" s="32"/>
      <c r="H262" s="31"/>
      <c r="I262" s="30"/>
      <c r="J262" s="6"/>
      <c r="K262" s="9"/>
      <c r="L262" s="9"/>
      <c r="M262" s="3"/>
      <c r="N262" s="15"/>
      <c r="O262" s="15"/>
      <c r="P262" s="15"/>
      <c r="Q262" s="15"/>
      <c r="R262" s="15"/>
      <c r="S262" s="15"/>
      <c r="T262" s="15"/>
      <c r="U262" s="15"/>
      <c r="V262" s="15"/>
      <c r="W262" s="15"/>
      <c r="X262" s="15"/>
      <c r="Y262" s="15"/>
      <c r="Z262" s="15"/>
      <c r="AA262" s="15"/>
    </row>
    <row r="263" spans="1:27" ht="15.4">
      <c r="A263" s="34"/>
      <c r="B263" s="23"/>
      <c r="C263" s="43">
        <f ca="1">AB300</f>
        <v>13.236829253257604</v>
      </c>
      <c r="D263" s="36"/>
      <c r="E263" s="36" t="s">
        <v>282</v>
      </c>
      <c r="F263" s="32"/>
      <c r="G263" s="32"/>
      <c r="H263" s="31"/>
      <c r="I263" s="60" t="s">
        <v>283</v>
      </c>
      <c r="J263" s="6"/>
      <c r="K263" s="9"/>
      <c r="L263" s="9"/>
      <c r="M263" s="3"/>
      <c r="N263" s="15"/>
      <c r="O263" s="15"/>
      <c r="P263" s="15"/>
      <c r="Q263" s="15"/>
      <c r="R263" s="15"/>
      <c r="S263" s="15"/>
      <c r="T263" s="15"/>
      <c r="U263" s="15"/>
      <c r="V263" s="15"/>
      <c r="W263" s="15"/>
      <c r="X263" s="15"/>
      <c r="Y263" s="15"/>
      <c r="Z263" s="15"/>
      <c r="AA263" s="15"/>
    </row>
    <row r="264" spans="1:27" ht="15.4">
      <c r="A264" s="34"/>
      <c r="B264" s="23"/>
      <c r="C264" s="43">
        <f ca="1">AB302</f>
        <v>-25.365177749398043</v>
      </c>
      <c r="D264" s="36"/>
      <c r="E264" s="36" t="s">
        <v>284</v>
      </c>
      <c r="F264" s="32"/>
      <c r="G264" s="32"/>
      <c r="H264" s="31"/>
      <c r="I264" s="60" t="s">
        <v>285</v>
      </c>
      <c r="J264" s="6"/>
      <c r="K264" s="9"/>
      <c r="L264" s="9"/>
      <c r="M264" s="3"/>
      <c r="N264" s="15"/>
      <c r="O264" s="15"/>
      <c r="P264" s="15"/>
      <c r="Q264" s="15"/>
      <c r="R264" s="15"/>
      <c r="S264" s="15"/>
      <c r="T264" s="15"/>
      <c r="U264" s="15"/>
      <c r="V264" s="15"/>
      <c r="W264" s="15"/>
      <c r="X264" s="15"/>
      <c r="Y264" s="15"/>
      <c r="Z264" s="15"/>
      <c r="AA264" s="15"/>
    </row>
    <row r="265" spans="1:27" ht="15.4">
      <c r="A265" s="34"/>
      <c r="B265" s="23"/>
      <c r="C265" s="43">
        <f ca="1">AB304</f>
        <v>-63.96718475205369</v>
      </c>
      <c r="D265" s="36"/>
      <c r="E265" s="36" t="s">
        <v>286</v>
      </c>
      <c r="F265" s="32"/>
      <c r="G265" s="32"/>
      <c r="H265" s="31"/>
      <c r="I265" s="60" t="s">
        <v>287</v>
      </c>
      <c r="J265" s="6"/>
      <c r="K265" s="9"/>
      <c r="L265" s="9"/>
      <c r="M265" s="3"/>
      <c r="N265" s="15"/>
      <c r="O265" s="15"/>
      <c r="P265" s="15"/>
      <c r="Q265" s="15"/>
      <c r="R265" s="15"/>
      <c r="S265" s="15"/>
      <c r="T265" s="15"/>
      <c r="U265" s="15"/>
      <c r="V265" s="15"/>
      <c r="W265" s="15"/>
      <c r="X265" s="15"/>
      <c r="Y265" s="15"/>
      <c r="Z265" s="15"/>
      <c r="AA265" s="15"/>
    </row>
    <row r="266" spans="1:27" ht="15.4">
      <c r="A266" s="34"/>
      <c r="B266" s="23"/>
      <c r="C266" s="43">
        <f ca="1">AB306</f>
        <v>-112.4441237786445</v>
      </c>
      <c r="D266" s="36"/>
      <c r="E266" s="36" t="s">
        <v>288</v>
      </c>
      <c r="F266" s="32"/>
      <c r="G266" s="32"/>
      <c r="H266" s="31"/>
      <c r="I266" s="60" t="s">
        <v>289</v>
      </c>
      <c r="J266" s="6"/>
      <c r="K266" s="9"/>
      <c r="L266" s="9"/>
      <c r="M266" s="3"/>
      <c r="N266" s="15"/>
      <c r="O266" s="15"/>
      <c r="P266" s="15"/>
      <c r="Q266" s="15"/>
      <c r="R266" s="15"/>
      <c r="S266" s="15"/>
      <c r="T266" s="15"/>
      <c r="U266" s="15"/>
      <c r="V266" s="15"/>
      <c r="W266" s="15"/>
      <c r="X266" s="15"/>
      <c r="Y266" s="15"/>
      <c r="Z266" s="15"/>
      <c r="AA266" s="15"/>
    </row>
    <row r="267" spans="1:27" ht="15.4">
      <c r="A267" s="34"/>
      <c r="B267" s="23"/>
      <c r="C267" s="36"/>
      <c r="D267" s="36"/>
      <c r="E267" s="41"/>
      <c r="F267" s="32"/>
      <c r="G267" s="32"/>
      <c r="H267" s="31"/>
      <c r="I267" s="61" t="s">
        <v>290</v>
      </c>
      <c r="J267" s="1"/>
      <c r="K267" s="3"/>
      <c r="L267" s="9"/>
      <c r="M267" s="3"/>
      <c r="N267" s="15"/>
      <c r="O267" s="15"/>
      <c r="P267" s="15"/>
      <c r="Q267" s="15"/>
      <c r="R267" s="15"/>
      <c r="S267" s="15"/>
      <c r="T267" s="15"/>
      <c r="U267" s="15"/>
      <c r="V267" s="15"/>
      <c r="W267" s="15"/>
      <c r="X267" s="15"/>
      <c r="Y267" s="15"/>
      <c r="Z267" s="15"/>
      <c r="AA267" s="15"/>
    </row>
    <row r="268" spans="1:27" ht="15.4">
      <c r="A268" s="34"/>
      <c r="B268" s="18"/>
      <c r="C268" s="23"/>
      <c r="D268" s="98"/>
      <c r="E268" s="32"/>
      <c r="F268" s="32"/>
      <c r="G268" s="32"/>
      <c r="H268" s="31"/>
      <c r="I268" s="30"/>
      <c r="J268" s="1"/>
      <c r="K268" s="3"/>
      <c r="L268" s="9"/>
      <c r="M268" s="3"/>
      <c r="N268" s="15"/>
      <c r="O268" s="15"/>
      <c r="P268" s="15"/>
      <c r="Q268" s="15"/>
      <c r="R268" s="15"/>
      <c r="S268" s="15"/>
      <c r="T268" s="15"/>
      <c r="U268" s="15"/>
      <c r="V268" s="15"/>
      <c r="W268" s="15"/>
      <c r="X268" s="15"/>
      <c r="Y268" s="15"/>
      <c r="Z268" s="15"/>
      <c r="AA268" s="15"/>
    </row>
    <row r="269" spans="1:27" ht="15.4">
      <c r="A269" s="99"/>
      <c r="B269" s="94"/>
      <c r="C269" s="93"/>
      <c r="D269" s="100"/>
      <c r="E269" s="101"/>
      <c r="F269" s="101"/>
      <c r="G269" s="101"/>
      <c r="H269" s="102"/>
      <c r="I269" s="103"/>
      <c r="J269" s="1"/>
      <c r="K269" s="3"/>
      <c r="L269" s="3"/>
      <c r="M269" s="3"/>
      <c r="N269" s="15"/>
      <c r="O269" s="15"/>
      <c r="P269" s="15"/>
      <c r="Q269" s="15"/>
      <c r="R269" s="15"/>
      <c r="S269" s="15"/>
      <c r="T269" s="15"/>
      <c r="U269" s="15"/>
      <c r="V269" s="15"/>
      <c r="W269" s="15"/>
      <c r="X269" s="15"/>
      <c r="Y269" s="15"/>
      <c r="Z269" s="15"/>
      <c r="AA269" s="15"/>
    </row>
    <row r="270" spans="1:27" ht="15.4">
      <c r="A270" s="150"/>
      <c r="B270" s="151"/>
      <c r="C270" s="151"/>
      <c r="D270" s="151"/>
      <c r="E270" s="151"/>
      <c r="F270" s="151"/>
      <c r="G270" s="151"/>
      <c r="H270" s="151"/>
      <c r="I270" s="152"/>
      <c r="J270" s="1"/>
      <c r="K270" s="3"/>
      <c r="L270" s="3"/>
      <c r="M270" s="3"/>
      <c r="N270" s="15"/>
      <c r="O270" s="15"/>
      <c r="P270" s="15"/>
      <c r="Q270" s="15"/>
      <c r="R270" s="15"/>
      <c r="S270" s="15"/>
      <c r="T270" s="15"/>
      <c r="U270" s="15"/>
      <c r="V270" s="15"/>
      <c r="W270" s="15"/>
      <c r="X270" s="15"/>
      <c r="Y270" s="15"/>
      <c r="Z270" s="15"/>
      <c r="AA270" s="15"/>
    </row>
    <row r="271" spans="1:27" ht="15.4">
      <c r="A271" s="153"/>
      <c r="B271" s="62"/>
      <c r="C271" s="62"/>
      <c r="D271" s="83" t="s">
        <v>291</v>
      </c>
      <c r="E271" s="62"/>
      <c r="F271" s="62"/>
      <c r="G271" s="62"/>
      <c r="H271" s="62"/>
      <c r="I271" s="81"/>
      <c r="J271" s="1"/>
      <c r="K271" s="3"/>
      <c r="L271" s="3"/>
      <c r="M271" s="3"/>
      <c r="N271" s="15"/>
      <c r="O271" s="15"/>
      <c r="P271" s="15"/>
      <c r="Q271" s="15"/>
      <c r="R271" s="15"/>
      <c r="S271" s="15"/>
      <c r="T271" s="15"/>
      <c r="U271" s="15"/>
      <c r="V271" s="15"/>
      <c r="W271" s="15"/>
      <c r="X271" s="15"/>
      <c r="Y271" s="15"/>
      <c r="Z271" s="15"/>
      <c r="AA271" s="15"/>
    </row>
    <row r="272" spans="1:27" ht="15.4">
      <c r="A272" s="82"/>
      <c r="B272" s="62"/>
      <c r="C272" s="62"/>
      <c r="D272" s="62"/>
      <c r="E272" s="62"/>
      <c r="F272" s="62"/>
      <c r="G272" s="62"/>
      <c r="H272" s="62"/>
      <c r="I272" s="81"/>
      <c r="J272" s="1"/>
      <c r="K272" s="3"/>
      <c r="L272" s="3"/>
      <c r="M272" s="3"/>
      <c r="N272" s="15"/>
      <c r="O272" s="15"/>
      <c r="P272" s="15"/>
      <c r="Q272" s="15"/>
      <c r="R272" s="15"/>
      <c r="S272" s="15"/>
      <c r="T272" s="15"/>
      <c r="U272" s="15"/>
      <c r="V272" s="15"/>
      <c r="W272" s="15"/>
      <c r="X272" s="15"/>
      <c r="Y272" s="15"/>
      <c r="Z272" s="15"/>
      <c r="AA272" s="15"/>
    </row>
    <row r="273" spans="1:28" ht="15.4">
      <c r="A273" s="83"/>
      <c r="B273" s="62"/>
      <c r="C273" s="62"/>
      <c r="D273" s="83" t="s">
        <v>292</v>
      </c>
      <c r="E273" s="68"/>
      <c r="F273" s="68"/>
      <c r="G273" s="68"/>
      <c r="H273" s="62"/>
      <c r="I273" s="81"/>
      <c r="J273" s="1"/>
      <c r="K273" s="3"/>
      <c r="L273" s="3"/>
      <c r="M273" s="3"/>
      <c r="N273" s="15"/>
      <c r="O273" s="15"/>
      <c r="P273" s="15"/>
      <c r="Q273" s="15"/>
      <c r="R273" s="15"/>
      <c r="S273" s="15"/>
      <c r="T273" s="15"/>
      <c r="U273" s="15"/>
      <c r="V273" s="15"/>
      <c r="W273" s="15"/>
      <c r="X273" s="15"/>
      <c r="Y273" s="15"/>
      <c r="Z273" s="15"/>
      <c r="AA273" s="15"/>
    </row>
    <row r="274" spans="1:28" ht="15.4">
      <c r="A274" s="84"/>
      <c r="B274" s="62"/>
      <c r="C274" s="62"/>
      <c r="D274" s="83" t="s">
        <v>293</v>
      </c>
      <c r="E274" s="68"/>
      <c r="F274" s="68"/>
      <c r="G274" s="68"/>
      <c r="H274" s="62"/>
      <c r="I274" s="81"/>
      <c r="J274" s="1"/>
      <c r="K274" s="3"/>
      <c r="L274" s="3"/>
      <c r="M274" s="3"/>
      <c r="N274" s="15"/>
      <c r="O274" s="15"/>
      <c r="P274" s="15"/>
      <c r="Q274" s="15"/>
      <c r="R274" s="15"/>
      <c r="S274" s="15"/>
      <c r="T274" s="15"/>
      <c r="U274" s="15"/>
      <c r="V274" s="15"/>
      <c r="W274" s="15"/>
      <c r="X274" s="15"/>
      <c r="Y274" s="15"/>
      <c r="Z274" s="15"/>
      <c r="AA274" s="15"/>
    </row>
    <row r="275" spans="1:28" ht="15.4">
      <c r="A275" s="82"/>
      <c r="B275" s="62"/>
      <c r="C275" s="62"/>
      <c r="D275" s="85" t="s">
        <v>294</v>
      </c>
      <c r="E275" s="68"/>
      <c r="F275" s="68"/>
      <c r="G275" s="68"/>
      <c r="H275" s="62"/>
      <c r="I275" s="81"/>
      <c r="J275" s="1"/>
      <c r="K275" s="3"/>
      <c r="L275" s="3"/>
      <c r="M275" s="3"/>
      <c r="N275" s="15"/>
      <c r="O275" s="15"/>
      <c r="P275" s="15"/>
      <c r="Q275" s="15"/>
      <c r="R275" s="15"/>
      <c r="S275" s="15"/>
      <c r="T275" s="15"/>
      <c r="U275" s="15"/>
      <c r="V275" s="15"/>
      <c r="W275" s="15"/>
      <c r="X275" s="15"/>
      <c r="Y275" s="15"/>
      <c r="Z275" s="15"/>
      <c r="AA275" s="15"/>
    </row>
    <row r="276" spans="1:28" ht="15.4">
      <c r="A276" s="82"/>
      <c r="B276" s="62"/>
      <c r="C276" s="62"/>
      <c r="D276" s="86" t="s">
        <v>295</v>
      </c>
      <c r="E276" s="68"/>
      <c r="F276" s="68"/>
      <c r="G276" s="68"/>
      <c r="H276" s="62"/>
      <c r="I276" s="81"/>
      <c r="J276" s="1"/>
      <c r="K276" s="3"/>
      <c r="L276" s="3"/>
      <c r="M276" s="3"/>
      <c r="N276" s="15"/>
      <c r="O276" s="15"/>
      <c r="P276" s="15"/>
      <c r="Q276" s="15"/>
      <c r="R276" s="15"/>
      <c r="S276" s="15"/>
      <c r="T276" s="15"/>
      <c r="U276" s="15"/>
      <c r="V276" s="15"/>
      <c r="W276" s="15"/>
      <c r="X276" s="15"/>
      <c r="Y276" s="15"/>
      <c r="Z276" s="15"/>
      <c r="AA276" s="15"/>
    </row>
    <row r="277" spans="1:28" ht="15.4">
      <c r="A277" s="87"/>
      <c r="B277" s="88"/>
      <c r="C277" s="88"/>
      <c r="D277" s="154"/>
      <c r="E277" s="89"/>
      <c r="F277" s="89"/>
      <c r="G277" s="89"/>
      <c r="H277" s="90"/>
      <c r="I277" s="91"/>
      <c r="J277" s="1"/>
      <c r="K277" s="3"/>
      <c r="L277" s="3"/>
      <c r="M277" s="3"/>
      <c r="N277" s="15"/>
      <c r="O277" s="15"/>
      <c r="P277" s="15"/>
      <c r="Q277" s="15"/>
      <c r="R277" s="15"/>
      <c r="S277" s="15"/>
      <c r="T277" s="15"/>
      <c r="U277" s="15"/>
      <c r="V277" s="15"/>
      <c r="W277" s="15"/>
      <c r="X277" s="15"/>
      <c r="Y277" s="15"/>
      <c r="Z277" s="15"/>
      <c r="AA277" s="15"/>
    </row>
    <row r="278" spans="1:28" ht="15.4">
      <c r="A278" s="62"/>
      <c r="B278" s="64"/>
      <c r="C278" s="62"/>
      <c r="D278" s="62"/>
      <c r="E278" s="62"/>
      <c r="F278" s="63"/>
      <c r="G278" s="63"/>
      <c r="H278" s="64"/>
      <c r="I278" s="64"/>
      <c r="J278" s="1"/>
      <c r="K278" s="3"/>
      <c r="L278" s="3"/>
      <c r="M278" s="3"/>
      <c r="N278" s="15"/>
      <c r="O278" s="15"/>
      <c r="P278" s="15"/>
      <c r="Q278" s="15"/>
      <c r="R278" s="15"/>
      <c r="S278" s="15"/>
      <c r="T278" s="15"/>
      <c r="U278" s="15"/>
      <c r="V278" s="15"/>
      <c r="W278" s="15"/>
      <c r="X278" s="15"/>
      <c r="Y278" s="15"/>
      <c r="Z278" s="15"/>
      <c r="AA278" s="15"/>
    </row>
    <row r="279" spans="1:28" ht="15.4">
      <c r="A279" s="62" t="s">
        <v>296</v>
      </c>
      <c r="B279" s="64"/>
      <c r="C279" s="62"/>
      <c r="D279" s="62"/>
      <c r="E279" s="62"/>
      <c r="F279" s="62"/>
      <c r="G279" s="62"/>
      <c r="H279" s="62"/>
      <c r="I279" s="65"/>
      <c r="J279" s="1"/>
      <c r="K279" s="3"/>
      <c r="L279" s="3"/>
      <c r="M279" s="3"/>
      <c r="N279" s="15"/>
      <c r="O279" s="15"/>
      <c r="P279" s="15"/>
      <c r="Q279" s="15"/>
      <c r="R279" s="15"/>
      <c r="S279" s="15"/>
      <c r="T279" s="15"/>
      <c r="U279" s="15"/>
      <c r="V279" s="15"/>
      <c r="W279" s="15"/>
      <c r="X279" s="15"/>
      <c r="Y279" s="15"/>
      <c r="Z279" s="15"/>
      <c r="AA279" s="15"/>
      <c r="AB279" s="15">
        <f ca="1">E241/E5</f>
        <v>57.752851650601954</v>
      </c>
    </row>
    <row r="280" spans="1:28" ht="15.4">
      <c r="A280" s="62"/>
      <c r="B280" s="62"/>
      <c r="C280" s="62"/>
      <c r="D280" s="64"/>
      <c r="E280" s="62"/>
      <c r="F280" s="62"/>
      <c r="G280" s="62"/>
      <c r="H280" s="67"/>
      <c r="I280" s="67"/>
      <c r="J280" s="1"/>
      <c r="K280" s="3"/>
      <c r="L280" s="3"/>
      <c r="M280" s="3"/>
      <c r="N280" s="15"/>
      <c r="O280" s="15"/>
      <c r="P280" s="15"/>
      <c r="Q280" s="15"/>
      <c r="R280" s="15"/>
      <c r="S280" s="15"/>
      <c r="T280" s="15"/>
      <c r="U280" s="15"/>
      <c r="V280" s="15"/>
      <c r="W280" s="15"/>
      <c r="X280" s="15"/>
      <c r="Y280" s="15"/>
      <c r="Z280" s="15"/>
      <c r="AA280" s="15"/>
      <c r="AB280" s="17">
        <f ca="1">E238-E239</f>
        <v>23101.140660240781</v>
      </c>
    </row>
    <row r="281" spans="1:28" ht="15.4">
      <c r="A281" s="62"/>
      <c r="B281" s="62"/>
      <c r="C281" s="62"/>
      <c r="D281" s="63"/>
      <c r="E281" s="62"/>
      <c r="F281" s="62"/>
      <c r="G281" s="62"/>
      <c r="H281" s="66"/>
      <c r="I281" s="66"/>
      <c r="J281" s="1"/>
      <c r="K281" s="3"/>
      <c r="L281" s="3"/>
      <c r="M281" s="3"/>
      <c r="N281" s="15"/>
      <c r="O281" s="15"/>
      <c r="P281" s="15"/>
      <c r="Q281" s="15"/>
      <c r="R281" s="15"/>
      <c r="S281" s="15"/>
      <c r="T281" s="15"/>
      <c r="U281" s="15"/>
      <c r="V281" s="15"/>
      <c r="W281" s="15"/>
      <c r="X281" s="15"/>
      <c r="Y281" s="15"/>
      <c r="Z281" s="15"/>
      <c r="AA281" s="15"/>
      <c r="AB281" s="15">
        <f ca="1">E242/E5</f>
        <v>83.118029399999998</v>
      </c>
    </row>
    <row r="282" spans="1:28" ht="15.4">
      <c r="A282" s="62"/>
      <c r="B282" s="62"/>
      <c r="C282" s="62"/>
      <c r="D282" s="62"/>
      <c r="E282" s="62"/>
      <c r="F282" s="62"/>
      <c r="G282" s="62"/>
      <c r="H282" s="62"/>
      <c r="I282" s="62"/>
      <c r="J282" s="1"/>
      <c r="K282" s="3"/>
      <c r="L282" s="3"/>
      <c r="M282" s="3"/>
      <c r="N282" s="15"/>
      <c r="O282" s="15"/>
      <c r="P282" s="15"/>
      <c r="Q282" s="15"/>
      <c r="R282" s="15"/>
      <c r="S282" s="15"/>
      <c r="T282" s="15"/>
      <c r="U282" s="15"/>
      <c r="V282" s="15"/>
      <c r="W282" s="15"/>
      <c r="X282" s="15"/>
      <c r="Y282" s="15"/>
      <c r="Z282" s="15"/>
      <c r="AA282" s="15"/>
      <c r="AB282" s="17">
        <f ca="1">I234</f>
        <v>33247.211759999998</v>
      </c>
    </row>
    <row r="283" spans="1:28" ht="15.4">
      <c r="A283" s="62"/>
      <c r="B283" s="62"/>
      <c r="C283" s="62"/>
      <c r="D283" s="63"/>
      <c r="E283" s="62"/>
      <c r="F283" s="62"/>
      <c r="G283" s="62"/>
      <c r="H283" s="68"/>
      <c r="I283" s="62"/>
      <c r="J283" s="1"/>
      <c r="K283" s="3"/>
      <c r="L283" s="3"/>
      <c r="M283" s="3"/>
      <c r="N283" s="15"/>
      <c r="O283" s="15"/>
      <c r="P283" s="15"/>
      <c r="Q283" s="15"/>
      <c r="R283" s="15"/>
      <c r="S283" s="15"/>
      <c r="T283" s="15"/>
      <c r="U283" s="15"/>
      <c r="V283" s="15"/>
      <c r="W283" s="15"/>
      <c r="X283" s="15"/>
      <c r="Y283" s="15"/>
      <c r="Z283" s="15"/>
      <c r="AA283" s="15"/>
      <c r="AB283" s="15">
        <f ca="1">E244/E5</f>
        <v>-25.365177749398043</v>
      </c>
    </row>
    <row r="284" spans="1:28" ht="15.4">
      <c r="A284" s="62"/>
      <c r="B284" s="62"/>
      <c r="C284" s="62"/>
      <c r="D284" s="62"/>
      <c r="E284" s="62"/>
      <c r="F284" s="62"/>
      <c r="G284" s="62"/>
      <c r="H284" s="62"/>
      <c r="I284" s="62"/>
      <c r="J284" s="1"/>
      <c r="K284" s="3"/>
      <c r="L284" s="3"/>
      <c r="M284" s="3"/>
      <c r="N284" s="15"/>
      <c r="O284" s="15"/>
      <c r="P284" s="15"/>
      <c r="Q284" s="15"/>
      <c r="R284" s="15"/>
      <c r="S284" s="15"/>
      <c r="T284" s="15"/>
      <c r="U284" s="15"/>
      <c r="V284" s="15"/>
      <c r="W284" s="15"/>
      <c r="X284" s="15"/>
      <c r="Y284" s="15"/>
      <c r="Z284" s="15"/>
      <c r="AA284" s="15"/>
      <c r="AB284" s="17">
        <f ca="1">E241-E242</f>
        <v>-10146.071099759218</v>
      </c>
    </row>
    <row r="285" spans="1:28" ht="15.4">
      <c r="A285" s="62"/>
      <c r="B285" s="62"/>
      <c r="C285" s="62"/>
      <c r="D285" s="63"/>
      <c r="E285" s="62"/>
      <c r="F285" s="62"/>
      <c r="G285" s="62"/>
      <c r="H285" s="62"/>
      <c r="I285" s="66"/>
      <c r="J285" s="1"/>
      <c r="K285" s="3"/>
      <c r="L285" s="3"/>
      <c r="M285" s="3"/>
      <c r="N285" s="15"/>
      <c r="O285" s="15"/>
      <c r="P285" s="15"/>
      <c r="Q285" s="15"/>
      <c r="R285" s="15"/>
      <c r="S285" s="15"/>
      <c r="T285" s="15"/>
      <c r="U285" s="15"/>
      <c r="V285" s="15"/>
      <c r="W285" s="15"/>
      <c r="X285" s="15"/>
      <c r="Y285" s="15"/>
      <c r="Z285" s="15"/>
      <c r="AA285" s="15"/>
      <c r="AB285" s="15">
        <f ca="1">F251*I222/K188</f>
        <v>239.61075256427921</v>
      </c>
    </row>
    <row r="286" spans="1:28" ht="15.4">
      <c r="A286" s="62"/>
      <c r="B286" s="62"/>
      <c r="C286" s="62"/>
      <c r="D286" s="64"/>
      <c r="E286" s="62"/>
      <c r="F286" s="63"/>
      <c r="G286" s="63"/>
      <c r="H286" s="64"/>
      <c r="I286" s="64"/>
      <c r="J286" s="1"/>
      <c r="K286" s="3"/>
      <c r="L286" s="3"/>
      <c r="M286" s="3"/>
      <c r="N286" s="15"/>
      <c r="O286" s="15"/>
      <c r="P286" s="15"/>
      <c r="Q286" s="15"/>
      <c r="R286" s="15"/>
      <c r="S286" s="15"/>
      <c r="T286" s="15"/>
      <c r="U286" s="15"/>
      <c r="V286" s="15"/>
      <c r="W286" s="15"/>
      <c r="X286" s="15"/>
      <c r="Y286" s="15"/>
      <c r="Z286" s="15"/>
      <c r="AA286" s="15"/>
      <c r="AB286" s="15">
        <f ca="1">AC251*I222/K188</f>
        <v>141.79213073092177</v>
      </c>
    </row>
    <row r="287" spans="1:28" ht="15.4">
      <c r="A287" s="62"/>
      <c r="B287" s="62"/>
      <c r="C287" s="62"/>
      <c r="D287" s="63"/>
      <c r="E287" s="62"/>
      <c r="F287" s="63"/>
      <c r="G287" s="63"/>
      <c r="H287" s="64"/>
      <c r="I287" s="64"/>
      <c r="J287" s="1"/>
      <c r="K287" s="3"/>
      <c r="L287" s="3"/>
      <c r="M287" s="3"/>
      <c r="N287" s="15"/>
      <c r="O287" s="15"/>
      <c r="P287" s="15"/>
      <c r="Q287" s="15"/>
      <c r="R287" s="15"/>
      <c r="S287" s="15"/>
      <c r="T287" s="15"/>
      <c r="U287" s="15"/>
      <c r="V287" s="15"/>
      <c r="W287" s="15"/>
      <c r="X287" s="15"/>
      <c r="Y287" s="15"/>
      <c r="Z287" s="15"/>
      <c r="AA287" s="15"/>
      <c r="AB287" s="15">
        <f ca="1">F251*I234/K188</f>
        <v>39.501715097420011</v>
      </c>
    </row>
    <row r="288" spans="1:28" ht="15.4">
      <c r="A288" s="62"/>
      <c r="B288" s="62"/>
      <c r="C288" s="62"/>
      <c r="D288" s="62"/>
      <c r="E288" s="62"/>
      <c r="F288" s="63"/>
      <c r="G288" s="63"/>
      <c r="H288" s="64"/>
      <c r="I288" s="64"/>
      <c r="J288" s="1"/>
      <c r="K288" s="3"/>
      <c r="L288" s="3"/>
      <c r="M288" s="3"/>
      <c r="N288" s="15"/>
      <c r="O288" s="15"/>
      <c r="P288" s="15"/>
      <c r="Q288" s="15"/>
      <c r="R288" s="15"/>
      <c r="S288" s="15"/>
      <c r="T288" s="15"/>
      <c r="U288" s="15"/>
      <c r="V288" s="15"/>
      <c r="W288" s="15"/>
      <c r="X288" s="15"/>
      <c r="Y288" s="15"/>
      <c r="Z288" s="15"/>
      <c r="AA288" s="15"/>
      <c r="AB288" s="15">
        <f ca="1">AC251*I234/K188</f>
        <v>23.37554676176914</v>
      </c>
    </row>
    <row r="289" spans="1:28" ht="15.4">
      <c r="A289" s="62"/>
      <c r="B289" s="62"/>
      <c r="C289" s="62"/>
      <c r="D289" s="62"/>
      <c r="E289" s="62"/>
      <c r="F289" s="62"/>
      <c r="G289" s="62"/>
      <c r="H289" s="62"/>
      <c r="I289" s="66"/>
      <c r="J289" s="1"/>
      <c r="K289" s="1"/>
      <c r="L289" s="1"/>
      <c r="M289" s="1"/>
      <c r="AB289" s="15">
        <f ca="1">K189*F31</f>
        <v>279.11246766169921</v>
      </c>
    </row>
    <row r="290" spans="1:28" ht="15.4">
      <c r="A290" s="62"/>
      <c r="B290" s="63"/>
      <c r="C290" s="64"/>
      <c r="D290" s="62"/>
      <c r="E290" s="62"/>
      <c r="F290" s="62"/>
      <c r="G290" s="62"/>
      <c r="H290" s="62"/>
      <c r="I290" s="62"/>
      <c r="J290" s="1"/>
      <c r="K290" s="1"/>
      <c r="L290" s="1"/>
      <c r="M290" s="1"/>
      <c r="AB290" s="15">
        <f ca="1">K189*E9</f>
        <v>165.1676774926909</v>
      </c>
    </row>
    <row r="291" spans="1:28" ht="15.4">
      <c r="A291" s="62"/>
      <c r="B291" s="63"/>
      <c r="C291" s="64"/>
      <c r="D291" s="62"/>
      <c r="E291" s="62"/>
      <c r="F291" s="62"/>
      <c r="G291" s="62"/>
      <c r="H291" s="62"/>
      <c r="I291" s="66"/>
      <c r="J291" s="1"/>
      <c r="K291" s="1"/>
      <c r="L291" s="1"/>
      <c r="M291" s="1"/>
      <c r="AB291" s="17">
        <f ca="1">I222+I234</f>
        <v>234919.20019975927</v>
      </c>
    </row>
    <row r="292" spans="1:28" ht="15.4">
      <c r="A292" s="62"/>
      <c r="B292" s="62"/>
      <c r="C292" s="64"/>
      <c r="D292" s="62"/>
      <c r="E292" s="62"/>
      <c r="F292" s="63"/>
      <c r="G292" s="63"/>
      <c r="H292" s="64"/>
      <c r="I292" s="64"/>
      <c r="J292" s="1"/>
      <c r="K292" s="1"/>
      <c r="L292" s="1"/>
      <c r="M292" s="1"/>
      <c r="AB292" s="15">
        <f ca="1">IF(D244&gt;0,1-I182,I182)</f>
        <v>0</v>
      </c>
    </row>
    <row r="293" spans="1:28" ht="15.4">
      <c r="A293" s="62"/>
      <c r="B293" s="62"/>
      <c r="C293" s="64"/>
      <c r="D293" s="62"/>
      <c r="E293" s="62"/>
      <c r="F293" s="63"/>
      <c r="G293" s="63"/>
      <c r="H293" s="64"/>
      <c r="I293" s="64"/>
      <c r="J293" s="1"/>
      <c r="K293" s="1"/>
      <c r="L293" s="1"/>
      <c r="M293" s="1"/>
      <c r="AB293" s="15">
        <f ca="1">(K188-(I35+I36+I37+I39+I42))/(I38+I40)</f>
        <v>1.0453650474220944</v>
      </c>
    </row>
    <row r="294" spans="1:28" ht="15.4">
      <c r="A294" s="62"/>
      <c r="B294" s="62"/>
      <c r="C294" s="62"/>
      <c r="D294" s="62"/>
      <c r="E294" s="62"/>
      <c r="F294" s="63"/>
      <c r="G294" s="63"/>
      <c r="H294" s="64"/>
      <c r="I294" s="64"/>
      <c r="J294" s="1"/>
      <c r="K294" s="1"/>
      <c r="L294" s="1"/>
      <c r="M294" s="1"/>
      <c r="AB294" s="15">
        <f ca="1">IF(D244-D255&gt;0,1-J240,J240)</f>
        <v>0.38876067733761849</v>
      </c>
    </row>
    <row r="295" spans="1:28" ht="15.4">
      <c r="A295" s="62"/>
      <c r="B295" s="63"/>
      <c r="C295" s="62"/>
      <c r="D295" s="62"/>
      <c r="E295" s="64"/>
      <c r="F295" s="63"/>
      <c r="G295" s="63"/>
      <c r="H295" s="64"/>
      <c r="I295" s="64"/>
      <c r="J295" s="1"/>
      <c r="K295" s="1"/>
      <c r="L295" s="1"/>
      <c r="M295" s="1"/>
      <c r="AB295" s="15">
        <f>J198/E238</f>
        <v>0.15975594532665421</v>
      </c>
    </row>
    <row r="296" spans="1:28" ht="15.4">
      <c r="A296" s="62"/>
      <c r="B296" s="62"/>
      <c r="C296" s="62"/>
      <c r="D296" s="62"/>
      <c r="E296" s="62"/>
      <c r="F296" s="63"/>
      <c r="G296" s="63"/>
      <c r="H296" s="64"/>
      <c r="I296" s="64"/>
      <c r="J296" s="1"/>
      <c r="K296" s="1"/>
      <c r="L296" s="1"/>
      <c r="M296" s="1"/>
      <c r="AB296" s="15">
        <f>E5*(E26-G26)/200</f>
        <v>70</v>
      </c>
    </row>
    <row r="297" spans="1:28" ht="15.4">
      <c r="A297" s="62"/>
      <c r="B297" s="62"/>
      <c r="C297" s="62"/>
      <c r="D297" s="62"/>
      <c r="E297" s="64"/>
      <c r="F297" s="63"/>
      <c r="G297" s="63"/>
      <c r="H297" s="64"/>
      <c r="I297" s="64"/>
      <c r="J297" s="1"/>
      <c r="K297" s="1"/>
      <c r="L297" s="1"/>
      <c r="M297" s="1"/>
      <c r="AB297" s="15">
        <f>(E30-G30)/2</f>
        <v>0</v>
      </c>
    </row>
    <row r="298" spans="1:28" ht="15.4">
      <c r="A298" s="62"/>
      <c r="B298" s="62"/>
      <c r="C298" s="62"/>
      <c r="D298" s="62"/>
      <c r="E298" s="64"/>
      <c r="F298" s="63"/>
      <c r="G298" s="63"/>
      <c r="H298" s="64"/>
      <c r="I298" s="64"/>
      <c r="J298" s="1"/>
      <c r="K298" s="1"/>
      <c r="L298" s="1"/>
      <c r="M298" s="14"/>
      <c r="AB298" s="15">
        <f>(E31-G31)/200</f>
        <v>0.38</v>
      </c>
    </row>
    <row r="299" spans="1:28" ht="15.4">
      <c r="A299" s="62"/>
      <c r="B299" s="62"/>
      <c r="C299" s="62"/>
      <c r="D299" s="62"/>
      <c r="E299" s="64"/>
      <c r="F299" s="63"/>
      <c r="G299" s="63"/>
      <c r="H299" s="64"/>
      <c r="I299" s="64"/>
      <c r="J299" s="10"/>
      <c r="K299" s="10"/>
      <c r="L299" s="10"/>
      <c r="AB299" s="15">
        <f ca="1">D244+0.97*J199</f>
        <v>61.713768279848409</v>
      </c>
    </row>
    <row r="300" spans="1:28" ht="15.4">
      <c r="A300" s="62"/>
      <c r="B300" s="62"/>
      <c r="C300" s="62"/>
      <c r="D300" s="62"/>
      <c r="E300" s="64"/>
      <c r="F300" s="63"/>
      <c r="G300" s="63"/>
      <c r="H300" s="64"/>
      <c r="I300" s="64"/>
      <c r="J300" s="10"/>
      <c r="K300" s="10"/>
      <c r="L300" s="10"/>
      <c r="AB300" s="15">
        <f ca="1">D244+0.43*J199</f>
        <v>13.236829253257604</v>
      </c>
    </row>
    <row r="301" spans="1:28" ht="15.4">
      <c r="A301" s="62"/>
      <c r="B301" s="62"/>
      <c r="C301" s="62"/>
      <c r="D301" s="62"/>
      <c r="E301" s="64"/>
      <c r="F301" s="63"/>
      <c r="G301" s="63"/>
      <c r="H301" s="64"/>
      <c r="I301" s="64"/>
      <c r="J301" s="10"/>
      <c r="K301" s="10"/>
      <c r="L301" s="10"/>
      <c r="AB301" s="15">
        <f>(E40*F30*J195)^2+(E40*F31/100*J194)^2+(F30*F31/100*J193)^2+(E40*J194*J195)^2+(F30*J193*J195)^2+(F31/100*J193*J194)^2+(J193*J194*J195)^2</f>
        <v>1289445057.5516067</v>
      </c>
    </row>
    <row r="302" spans="1:28" ht="15.4">
      <c r="A302" s="62"/>
      <c r="B302" s="62"/>
      <c r="C302" s="62"/>
      <c r="D302" s="62"/>
      <c r="E302" s="64"/>
      <c r="F302" s="63"/>
      <c r="G302" s="63"/>
      <c r="H302" s="64"/>
      <c r="I302" s="64"/>
      <c r="J302" s="10"/>
      <c r="K302" s="10"/>
      <c r="L302" s="10"/>
      <c r="AB302" s="16">
        <f ca="1">D244</f>
        <v>-25.365177749398043</v>
      </c>
    </row>
    <row r="303" spans="1:28" ht="15.4">
      <c r="A303" s="62"/>
      <c r="B303" s="62"/>
      <c r="C303" s="62"/>
      <c r="D303" s="62"/>
      <c r="E303" s="64"/>
      <c r="F303" s="63"/>
      <c r="G303" s="63"/>
      <c r="H303" s="64"/>
      <c r="I303" s="64"/>
      <c r="J303" s="10"/>
      <c r="K303" s="10"/>
      <c r="L303" s="10"/>
      <c r="AB303" s="15">
        <f>SQRT(J197)</f>
        <v>35908.843723400598</v>
      </c>
    </row>
    <row r="304" spans="1:28" ht="15.4">
      <c r="A304" s="62"/>
      <c r="B304" s="62"/>
      <c r="C304" s="62"/>
      <c r="D304" s="62"/>
      <c r="E304" s="64"/>
      <c r="F304" s="63"/>
      <c r="G304" s="63"/>
      <c r="H304" s="64"/>
      <c r="I304" s="64"/>
      <c r="J304" s="10"/>
      <c r="K304" s="10"/>
      <c r="L304" s="10"/>
      <c r="AB304" s="15">
        <f ca="1">D244-0.43*J199</f>
        <v>-63.96718475205369</v>
      </c>
    </row>
    <row r="305" spans="1:28" ht="15.4">
      <c r="A305" s="62"/>
      <c r="B305" s="62"/>
      <c r="C305" s="62"/>
      <c r="D305" s="62"/>
      <c r="E305" s="64"/>
      <c r="F305" s="63"/>
      <c r="G305" s="63"/>
      <c r="H305" s="64"/>
      <c r="I305" s="64"/>
      <c r="J305" s="10"/>
      <c r="K305" s="10"/>
      <c r="L305" s="10"/>
      <c r="AB305" s="15">
        <f>J198/E5</f>
        <v>89.772109308501499</v>
      </c>
    </row>
    <row r="306" spans="1:28" ht="15.4">
      <c r="A306" s="62"/>
      <c r="B306" s="62"/>
      <c r="C306" s="62"/>
      <c r="D306" s="62"/>
      <c r="E306" s="62"/>
      <c r="F306" s="62"/>
      <c r="G306" s="62"/>
      <c r="H306" s="62"/>
      <c r="I306" s="62"/>
      <c r="J306" s="10"/>
      <c r="K306" s="10"/>
      <c r="L306" s="10"/>
      <c r="AB306" s="15">
        <f ca="1">D244-0.97*J199</f>
        <v>-112.4441237786445</v>
      </c>
    </row>
    <row r="307" spans="1:28" ht="15.4">
      <c r="A307" s="62"/>
      <c r="B307" s="62"/>
      <c r="C307" s="62"/>
      <c r="D307" s="62"/>
      <c r="E307" s="62"/>
      <c r="F307" s="62"/>
      <c r="G307" s="62"/>
      <c r="H307" s="64"/>
      <c r="I307" s="64"/>
      <c r="J307" s="10"/>
      <c r="K307" s="10"/>
      <c r="L307" s="10"/>
      <c r="AB307" s="15">
        <f ca="1">ABS(D244/J199)</f>
        <v>0.2825507604174779</v>
      </c>
    </row>
    <row r="308" spans="1:28" ht="15.4">
      <c r="A308" s="62"/>
      <c r="B308" s="62"/>
      <c r="C308" s="62"/>
      <c r="D308" s="62"/>
      <c r="E308" s="62"/>
      <c r="F308" s="63"/>
      <c r="G308" s="63"/>
      <c r="H308" s="62"/>
      <c r="I308" s="66"/>
      <c r="J308" s="12"/>
      <c r="K308" s="10"/>
      <c r="L308" s="10"/>
      <c r="AB308" s="15">
        <f ca="1">ABS((D244-D255)/J199)</f>
        <v>0.2825507604174779</v>
      </c>
    </row>
    <row r="309" spans="1:28" ht="15.4">
      <c r="A309" s="62"/>
      <c r="B309" s="62"/>
      <c r="C309" s="62"/>
      <c r="D309" s="62"/>
      <c r="E309" s="62"/>
      <c r="F309" s="62"/>
      <c r="G309" s="62"/>
      <c r="H309" s="62"/>
      <c r="I309" s="62"/>
      <c r="J309" s="10"/>
      <c r="K309" s="10"/>
      <c r="L309" s="10"/>
      <c r="AB309" s="15">
        <f ca="1">1/(1+(0.2316419*J201))</f>
        <v>0.93857003290688346</v>
      </c>
    </row>
    <row r="310" spans="1:28" ht="15.4">
      <c r="A310" s="62"/>
      <c r="B310" s="62"/>
      <c r="C310" s="62"/>
      <c r="D310" s="62"/>
      <c r="E310" s="68"/>
      <c r="F310" s="68"/>
      <c r="G310" s="68"/>
      <c r="H310" s="62"/>
      <c r="I310" s="62"/>
      <c r="J310" s="10"/>
      <c r="K310" s="10"/>
      <c r="L310" s="10"/>
      <c r="AB310" s="15">
        <f ca="1">1/(1+(0.2316419*K201))</f>
        <v>0.93857003290688346</v>
      </c>
    </row>
    <row r="311" spans="1:28" ht="15.4">
      <c r="A311" s="62"/>
      <c r="B311" s="62"/>
      <c r="C311" s="62"/>
      <c r="D311" s="62"/>
      <c r="E311" s="68"/>
      <c r="F311" s="68"/>
      <c r="G311" s="68"/>
      <c r="H311" s="62"/>
      <c r="I311" s="62"/>
      <c r="J311" s="10"/>
      <c r="K311" s="10"/>
      <c r="L311" s="10"/>
      <c r="AB311" s="15">
        <f ca="1">0.398942281*EXP(J201^2/-2)</f>
        <v>0.38333116692438146</v>
      </c>
    </row>
    <row r="312" spans="1:28" ht="15.4">
      <c r="A312" s="62"/>
      <c r="B312" s="62"/>
      <c r="C312" s="62"/>
      <c r="D312" s="62"/>
      <c r="E312" s="68"/>
      <c r="F312" s="68"/>
      <c r="G312" s="68"/>
      <c r="H312" s="62"/>
      <c r="I312" s="62"/>
      <c r="J312" s="10"/>
      <c r="K312" s="10"/>
      <c r="L312" s="10"/>
      <c r="AB312" s="15">
        <f ca="1">0.398942281*EXP(K201^2/-2)</f>
        <v>0.38333116692438146</v>
      </c>
    </row>
    <row r="313" spans="1:28" ht="15.4">
      <c r="A313" s="62"/>
      <c r="B313" s="62"/>
      <c r="C313" s="62"/>
      <c r="D313" s="62"/>
      <c r="E313" s="62"/>
      <c r="F313" s="62"/>
      <c r="G313" s="62"/>
      <c r="H313" s="62"/>
      <c r="I313" s="62"/>
      <c r="J313" s="10"/>
      <c r="K313" s="10"/>
      <c r="L313" s="10"/>
      <c r="AB313" s="15">
        <f ca="1">J203*(0.31938153*J202-0.356563782*J202^2+1.781477937*J202^3-1.821255978*J202^4+1.330274429*J202^5)</f>
        <v>0.38876067733761849</v>
      </c>
    </row>
    <row r="314" spans="1:28" ht="15.4">
      <c r="A314" s="62"/>
      <c r="B314" s="62"/>
      <c r="C314" s="62"/>
      <c r="D314" s="62"/>
      <c r="E314" s="62"/>
      <c r="F314" s="62"/>
      <c r="G314" s="62"/>
      <c r="H314" s="62"/>
      <c r="I314" s="62"/>
      <c r="J314" s="10"/>
      <c r="K314" s="10"/>
      <c r="L314" s="10"/>
      <c r="AB314" s="15">
        <f ca="1">K203*(0.31938153*K202-0.356563782*K202^2+1.781477937*K202^3-1.821255978*K202^4+1.330274429*K202^5)</f>
        <v>0.38876067733761849</v>
      </c>
    </row>
    <row r="315" spans="1:28" ht="15.4">
      <c r="A315" s="62"/>
      <c r="B315" s="62"/>
      <c r="C315" s="62"/>
      <c r="D315" s="62"/>
      <c r="E315" s="68"/>
      <c r="F315" s="68"/>
      <c r="G315" s="68"/>
      <c r="H315" s="62"/>
      <c r="I315" s="62"/>
      <c r="J315" s="10"/>
      <c r="K315" s="10"/>
      <c r="L315" s="10"/>
      <c r="AB315" s="15"/>
    </row>
    <row r="316" spans="1:28" ht="15.4">
      <c r="A316" s="62"/>
      <c r="B316" s="62"/>
      <c r="C316" s="62"/>
      <c r="D316" s="62"/>
      <c r="E316" s="68"/>
      <c r="F316" s="68"/>
      <c r="G316" s="68"/>
      <c r="H316" s="62"/>
      <c r="I316" s="62"/>
      <c r="J316" s="10"/>
      <c r="K316" s="10"/>
      <c r="L316" s="10"/>
      <c r="AB316" s="15"/>
    </row>
    <row r="317" spans="1:28" ht="15.4">
      <c r="A317" s="62"/>
      <c r="B317" s="62"/>
      <c r="C317" s="62"/>
      <c r="D317" s="62"/>
      <c r="E317" s="68"/>
      <c r="F317" s="68"/>
      <c r="G317" s="68"/>
      <c r="H317" s="62"/>
      <c r="I317" s="62"/>
      <c r="J317" s="10"/>
      <c r="K317" s="10"/>
      <c r="L317" s="10"/>
      <c r="AB317" s="15"/>
    </row>
    <row r="318" spans="1:28" ht="15.4">
      <c r="A318" s="62"/>
      <c r="B318" s="62"/>
      <c r="C318" s="62"/>
      <c r="D318" s="62"/>
      <c r="E318" s="68"/>
      <c r="F318" s="68"/>
      <c r="G318" s="68"/>
      <c r="H318" s="62"/>
      <c r="I318" s="62"/>
      <c r="J318" s="10"/>
      <c r="K318" s="10"/>
      <c r="L318" s="10"/>
      <c r="AB318" s="15"/>
    </row>
    <row r="319" spans="1:28" ht="15.4">
      <c r="A319" s="62"/>
      <c r="B319" s="62"/>
      <c r="C319" s="62"/>
      <c r="D319" s="62"/>
      <c r="E319" s="68"/>
      <c r="F319" s="68"/>
      <c r="G319" s="68"/>
      <c r="H319" s="64"/>
      <c r="I319" s="64"/>
      <c r="J319" s="10"/>
      <c r="K319" s="10"/>
      <c r="L319" s="10"/>
      <c r="AB319" s="15"/>
    </row>
    <row r="320" spans="1:28" ht="15.4">
      <c r="A320" s="62"/>
      <c r="B320" s="62"/>
      <c r="C320" s="62"/>
      <c r="D320" s="62"/>
      <c r="E320" s="68"/>
      <c r="F320" s="68"/>
      <c r="G320" s="68"/>
      <c r="H320" s="64"/>
      <c r="I320" s="64"/>
      <c r="J320" s="10"/>
      <c r="K320" s="10"/>
      <c r="L320" s="10"/>
      <c r="AB320" s="15"/>
    </row>
    <row r="321" spans="1:28" ht="15.4">
      <c r="A321" s="62"/>
      <c r="B321" s="62"/>
      <c r="C321" s="62"/>
      <c r="D321" s="62"/>
      <c r="E321" s="64"/>
      <c r="F321" s="62"/>
      <c r="G321" s="62"/>
      <c r="H321" s="64"/>
      <c r="I321" s="64"/>
      <c r="J321" s="10"/>
      <c r="K321" s="10"/>
      <c r="L321" s="10"/>
      <c r="AB321" s="15"/>
    </row>
    <row r="322" spans="1:28" ht="15.4">
      <c r="A322" s="62"/>
      <c r="B322" s="62"/>
      <c r="C322" s="62"/>
      <c r="D322" s="62"/>
      <c r="E322" s="62"/>
      <c r="F322" s="62"/>
      <c r="G322" s="62"/>
      <c r="H322" s="64"/>
      <c r="I322" s="64"/>
      <c r="J322" s="10"/>
      <c r="K322" s="10"/>
      <c r="L322" s="10"/>
      <c r="AB322" s="15"/>
    </row>
    <row r="323" spans="1:28" ht="15.4">
      <c r="A323" s="62"/>
      <c r="B323" s="62"/>
      <c r="C323" s="62"/>
      <c r="D323" s="62"/>
      <c r="E323" s="62"/>
      <c r="F323" s="62"/>
      <c r="G323" s="62"/>
      <c r="H323" s="62"/>
      <c r="I323" s="62"/>
      <c r="J323" s="10"/>
      <c r="K323" s="10"/>
      <c r="L323" s="10"/>
      <c r="AB323" s="15"/>
    </row>
    <row r="324" spans="1:28" ht="15.4">
      <c r="A324" s="62"/>
      <c r="B324" s="62"/>
      <c r="C324" s="62"/>
      <c r="D324" s="62"/>
      <c r="E324" s="64"/>
      <c r="F324" s="62"/>
      <c r="G324" s="62"/>
      <c r="H324" s="64"/>
      <c r="I324" s="64"/>
      <c r="J324" s="10"/>
      <c r="K324" s="10"/>
      <c r="L324" s="10"/>
      <c r="AB324" s="15"/>
    </row>
    <row r="325" spans="1:28" ht="15.4">
      <c r="A325" s="62"/>
      <c r="B325" s="62"/>
      <c r="C325" s="62"/>
      <c r="D325" s="62"/>
      <c r="E325" s="64"/>
      <c r="F325" s="62"/>
      <c r="G325" s="62"/>
      <c r="H325" s="64"/>
      <c r="I325" s="64"/>
      <c r="J325" s="10"/>
      <c r="K325" s="10"/>
      <c r="L325" s="10"/>
      <c r="AB325" s="15"/>
    </row>
    <row r="326" spans="1:28" ht="15.4">
      <c r="A326" s="62"/>
      <c r="B326" s="62"/>
      <c r="C326" s="62"/>
      <c r="D326" s="62"/>
      <c r="E326" s="64"/>
      <c r="F326" s="62"/>
      <c r="G326" s="62"/>
      <c r="H326" s="64"/>
      <c r="I326" s="64"/>
      <c r="J326" s="12"/>
      <c r="K326" s="10"/>
      <c r="L326" s="10"/>
    </row>
    <row r="327" spans="1:28" ht="15.4">
      <c r="A327" s="62"/>
      <c r="B327" s="62"/>
      <c r="C327" s="62"/>
      <c r="D327" s="62"/>
      <c r="E327" s="64"/>
      <c r="F327" s="62"/>
      <c r="G327" s="62"/>
      <c r="H327" s="64"/>
      <c r="I327" s="64"/>
      <c r="J327" s="10"/>
      <c r="K327" s="10"/>
      <c r="L327" s="10"/>
    </row>
    <row r="328" spans="1:28" ht="15.95">
      <c r="A328" s="69"/>
      <c r="B328" s="69"/>
      <c r="C328" s="69"/>
      <c r="D328" s="69"/>
      <c r="E328" s="70"/>
      <c r="F328" s="69"/>
      <c r="G328" s="69"/>
      <c r="H328" s="70"/>
      <c r="I328" s="70"/>
      <c r="J328" s="10"/>
      <c r="K328" s="10"/>
      <c r="L328" s="10"/>
    </row>
    <row r="329" spans="1:28" ht="15.95">
      <c r="A329" s="69"/>
      <c r="B329" s="69"/>
      <c r="C329" s="69"/>
      <c r="D329" s="69"/>
      <c r="E329" s="69"/>
      <c r="F329" s="69"/>
      <c r="G329" s="69"/>
      <c r="H329" s="69"/>
      <c r="I329" s="69"/>
      <c r="J329" s="10"/>
      <c r="K329" s="10"/>
      <c r="L329" s="10"/>
    </row>
    <row r="330" spans="1:28" ht="15.95">
      <c r="A330" s="69"/>
      <c r="B330" s="69"/>
      <c r="C330" s="69"/>
      <c r="D330" s="69"/>
      <c r="E330" s="69"/>
      <c r="F330" s="69"/>
      <c r="G330" s="69"/>
      <c r="H330" s="70"/>
      <c r="I330" s="70"/>
      <c r="J330" s="10"/>
      <c r="K330" s="10"/>
      <c r="L330" s="10"/>
    </row>
    <row r="331" spans="1:28" ht="15.95">
      <c r="A331" s="69"/>
      <c r="B331" s="69"/>
      <c r="C331" s="69"/>
      <c r="D331" s="69"/>
      <c r="E331" s="70"/>
      <c r="F331" s="69"/>
      <c r="G331" s="69"/>
      <c r="H331" s="70"/>
      <c r="I331" s="70"/>
      <c r="J331" s="10"/>
      <c r="K331" s="10"/>
      <c r="L331" s="10"/>
    </row>
    <row r="332" spans="1:28" ht="15.95">
      <c r="A332" s="69"/>
      <c r="B332" s="69"/>
      <c r="C332" s="69"/>
      <c r="D332" s="69"/>
      <c r="E332" s="70"/>
      <c r="F332" s="69"/>
      <c r="G332" s="69"/>
      <c r="H332" s="70"/>
      <c r="I332" s="70"/>
      <c r="J332" s="10"/>
      <c r="K332" s="10"/>
      <c r="L332" s="10"/>
    </row>
    <row r="333" spans="1:28" ht="15.95">
      <c r="A333" s="69"/>
      <c r="B333" s="69"/>
      <c r="C333" s="69"/>
      <c r="D333" s="69"/>
      <c r="E333" s="70"/>
      <c r="F333" s="69"/>
      <c r="G333" s="69"/>
      <c r="H333" s="70"/>
      <c r="I333" s="70"/>
      <c r="J333" s="10"/>
      <c r="K333" s="10"/>
      <c r="L333" s="10"/>
    </row>
    <row r="334" spans="1:28" ht="15.95">
      <c r="A334" s="69"/>
      <c r="B334" s="69"/>
      <c r="C334" s="69"/>
      <c r="D334" s="69"/>
      <c r="E334" s="70"/>
      <c r="F334" s="69"/>
      <c r="G334" s="69"/>
      <c r="H334" s="70"/>
      <c r="I334" s="70"/>
      <c r="J334" s="12"/>
      <c r="K334" s="10"/>
      <c r="L334" s="10"/>
    </row>
    <row r="335" spans="1:28" ht="15.95">
      <c r="A335" s="69"/>
      <c r="B335" s="69"/>
      <c r="C335" s="69"/>
      <c r="D335" s="69"/>
      <c r="E335" s="69"/>
      <c r="F335" s="69"/>
      <c r="G335" s="69"/>
      <c r="H335" s="70"/>
      <c r="I335" s="70"/>
      <c r="J335" s="13"/>
      <c r="K335" s="10"/>
      <c r="L335" s="13"/>
    </row>
    <row r="336" spans="1:28" ht="15.95">
      <c r="A336" s="69"/>
      <c r="B336" s="69"/>
      <c r="C336" s="71"/>
      <c r="D336" s="69"/>
      <c r="E336" s="69"/>
      <c r="F336" s="69"/>
      <c r="G336" s="69"/>
      <c r="H336" s="69"/>
      <c r="I336" s="69"/>
      <c r="J336" s="13"/>
      <c r="K336" s="13"/>
      <c r="L336" s="13"/>
    </row>
    <row r="337" spans="1:12" ht="15.95">
      <c r="A337" s="69"/>
      <c r="B337" s="69"/>
      <c r="C337" s="69"/>
      <c r="D337" s="69"/>
      <c r="E337" s="70"/>
      <c r="F337" s="69"/>
      <c r="G337" s="69"/>
      <c r="H337" s="70"/>
      <c r="I337" s="70"/>
      <c r="J337" s="13"/>
      <c r="K337" s="13"/>
      <c r="L337" s="13"/>
    </row>
    <row r="338" spans="1:12" ht="15.95">
      <c r="A338" s="69"/>
      <c r="B338" s="69"/>
      <c r="C338" s="69"/>
      <c r="D338" s="69"/>
      <c r="E338" s="70"/>
      <c r="F338" s="69"/>
      <c r="G338" s="69"/>
      <c r="H338" s="70"/>
      <c r="I338" s="70"/>
      <c r="J338" s="12"/>
      <c r="K338" s="13"/>
      <c r="L338" s="13"/>
    </row>
    <row r="339" spans="1:12" ht="15.95">
      <c r="A339" s="69"/>
      <c r="B339" s="69"/>
      <c r="C339" s="69"/>
      <c r="D339" s="69"/>
      <c r="E339" s="70"/>
      <c r="F339" s="69"/>
      <c r="G339" s="69"/>
      <c r="H339" s="70"/>
      <c r="I339" s="70"/>
      <c r="J339" s="13"/>
      <c r="K339" s="13"/>
      <c r="L339" s="13"/>
    </row>
    <row r="340" spans="1:12" ht="15.95">
      <c r="A340" s="69"/>
      <c r="B340" s="69"/>
      <c r="C340" s="69"/>
      <c r="D340" s="69"/>
      <c r="E340" s="70"/>
      <c r="F340" s="69"/>
      <c r="G340" s="69"/>
      <c r="H340" s="70"/>
      <c r="I340" s="70"/>
      <c r="J340" s="13"/>
      <c r="K340" s="13"/>
      <c r="L340" s="13"/>
    </row>
    <row r="341" spans="1:12" ht="15.95">
      <c r="A341" s="69"/>
      <c r="B341" s="69"/>
      <c r="C341" s="69"/>
      <c r="D341" s="69"/>
      <c r="E341" s="69"/>
      <c r="F341" s="69"/>
      <c r="G341" s="69"/>
      <c r="H341" s="70"/>
      <c r="I341" s="70"/>
      <c r="J341" s="10"/>
      <c r="K341" s="10"/>
      <c r="L341" s="10"/>
    </row>
    <row r="342" spans="1:12" ht="15.95">
      <c r="A342" s="69"/>
      <c r="B342" s="69"/>
      <c r="C342" s="69"/>
      <c r="D342" s="69"/>
      <c r="E342" s="69"/>
      <c r="F342" s="69"/>
      <c r="G342" s="69"/>
      <c r="H342" s="69"/>
      <c r="I342" s="69"/>
      <c r="J342" s="12"/>
      <c r="K342" s="10"/>
      <c r="L342" s="10"/>
    </row>
    <row r="343" spans="1:12" ht="15.95">
      <c r="A343" s="69"/>
      <c r="B343" s="69"/>
      <c r="C343" s="72"/>
      <c r="D343" s="71"/>
      <c r="E343" s="70"/>
      <c r="F343" s="70"/>
      <c r="G343" s="70"/>
      <c r="H343" s="71"/>
      <c r="I343" s="69"/>
      <c r="J343" s="12"/>
      <c r="K343" s="10"/>
      <c r="L343" s="10"/>
    </row>
    <row r="344" spans="1:12" ht="15.95">
      <c r="A344" s="69"/>
      <c r="B344" s="69"/>
      <c r="C344" s="69"/>
      <c r="D344" s="69"/>
      <c r="E344" s="70"/>
      <c r="F344" s="70"/>
      <c r="G344" s="70"/>
      <c r="H344" s="71"/>
      <c r="I344" s="69"/>
      <c r="J344" s="12"/>
      <c r="K344" s="10"/>
      <c r="L344" s="10"/>
    </row>
    <row r="345" spans="1:12" ht="15.95">
      <c r="A345" s="69"/>
      <c r="B345" s="69"/>
      <c r="C345" s="69"/>
      <c r="D345" s="69"/>
      <c r="E345" s="69"/>
      <c r="F345" s="69"/>
      <c r="G345" s="69"/>
      <c r="H345" s="69"/>
      <c r="I345" s="69"/>
      <c r="J345" s="12"/>
      <c r="K345" s="10"/>
      <c r="L345" s="10"/>
    </row>
    <row r="346" spans="1:12" ht="15.95">
      <c r="A346" s="69"/>
      <c r="B346" s="69"/>
      <c r="C346" s="73"/>
      <c r="D346" s="71"/>
      <c r="E346" s="70"/>
      <c r="F346" s="70"/>
      <c r="G346" s="70"/>
      <c r="H346" s="71"/>
      <c r="I346" s="71"/>
      <c r="J346" s="12"/>
      <c r="K346" s="10"/>
      <c r="L346" s="10"/>
    </row>
    <row r="347" spans="1:12" ht="15.95">
      <c r="A347" s="69"/>
      <c r="B347" s="69"/>
      <c r="C347" s="73"/>
      <c r="D347" s="71"/>
      <c r="E347" s="69"/>
      <c r="F347" s="69"/>
      <c r="G347" s="69"/>
      <c r="H347" s="69"/>
      <c r="I347" s="71"/>
      <c r="J347" s="10"/>
      <c r="K347" s="10"/>
      <c r="L347" s="10"/>
    </row>
    <row r="348" spans="1:12" ht="15.95">
      <c r="A348" s="69"/>
      <c r="B348" s="69"/>
      <c r="C348" s="73"/>
      <c r="D348" s="71"/>
      <c r="E348" s="70"/>
      <c r="F348" s="70"/>
      <c r="G348" s="70"/>
      <c r="H348" s="71"/>
      <c r="I348" s="71"/>
      <c r="J348" s="12"/>
      <c r="K348" s="10"/>
      <c r="L348" s="10"/>
    </row>
    <row r="349" spans="1:12" ht="15.95">
      <c r="A349" s="69"/>
      <c r="B349" s="69"/>
      <c r="C349" s="69"/>
      <c r="D349" s="69"/>
      <c r="E349" s="70"/>
      <c r="F349" s="70"/>
      <c r="G349" s="70"/>
      <c r="H349" s="71"/>
      <c r="I349" s="69"/>
      <c r="J349" s="12"/>
      <c r="K349" s="10"/>
      <c r="L349" s="10"/>
    </row>
    <row r="350" spans="1:12" ht="15.95">
      <c r="A350" s="69"/>
      <c r="B350" s="69"/>
      <c r="C350" s="69"/>
      <c r="D350" s="69"/>
      <c r="E350" s="70"/>
      <c r="F350" s="70"/>
      <c r="G350" s="70"/>
      <c r="H350" s="71"/>
      <c r="I350" s="69"/>
      <c r="J350" s="12"/>
      <c r="K350" s="10"/>
      <c r="L350" s="10"/>
    </row>
    <row r="351" spans="1:12" ht="15.95">
      <c r="A351" s="69"/>
      <c r="B351" s="69"/>
      <c r="C351" s="69"/>
      <c r="D351" s="69"/>
      <c r="E351" s="70"/>
      <c r="F351" s="70"/>
      <c r="G351" s="70"/>
      <c r="H351" s="71"/>
      <c r="I351" s="69"/>
      <c r="J351" s="10"/>
      <c r="K351" s="10"/>
      <c r="L351" s="10"/>
    </row>
    <row r="352" spans="1:12" ht="15.95">
      <c r="A352" s="69"/>
      <c r="B352" s="69"/>
      <c r="C352" s="69"/>
      <c r="D352" s="71"/>
      <c r="E352" s="70"/>
      <c r="F352" s="70"/>
      <c r="G352" s="70"/>
      <c r="H352" s="71"/>
      <c r="I352" s="71"/>
      <c r="J352" s="10"/>
      <c r="K352" s="10"/>
      <c r="L352" s="10"/>
    </row>
    <row r="353" spans="1:12" ht="15.95">
      <c r="A353" s="69"/>
      <c r="B353" s="69"/>
      <c r="C353" s="72"/>
      <c r="D353" s="71"/>
      <c r="E353" s="71"/>
      <c r="F353" s="71"/>
      <c r="G353" s="71"/>
      <c r="H353" s="71"/>
      <c r="I353" s="71"/>
      <c r="J353" s="10"/>
      <c r="K353" s="10"/>
      <c r="L353" s="10"/>
    </row>
    <row r="354" spans="1:12" ht="15.95">
      <c r="A354" s="69"/>
      <c r="B354" s="69"/>
      <c r="C354" s="69"/>
      <c r="D354" s="71"/>
      <c r="E354" s="71"/>
      <c r="F354" s="71"/>
      <c r="G354" s="71"/>
      <c r="H354" s="71"/>
      <c r="I354" s="71"/>
      <c r="J354" s="11"/>
      <c r="K354" s="10"/>
      <c r="L354" s="10"/>
    </row>
    <row r="355" spans="1:12" ht="15.95">
      <c r="A355" s="69"/>
      <c r="B355" s="69"/>
      <c r="C355" s="74"/>
      <c r="D355" s="71"/>
      <c r="E355" s="69"/>
      <c r="F355" s="71"/>
      <c r="G355" s="71"/>
      <c r="H355" s="71"/>
      <c r="I355" s="71"/>
      <c r="J355" s="11"/>
      <c r="K355" s="10"/>
      <c r="L355" s="10"/>
    </row>
    <row r="356" spans="1:12" ht="15.95">
      <c r="A356" s="69"/>
      <c r="B356" s="69"/>
      <c r="C356" s="74"/>
      <c r="D356" s="69"/>
      <c r="E356" s="69"/>
      <c r="F356" s="69"/>
      <c r="G356" s="69"/>
      <c r="H356" s="69"/>
      <c r="I356" s="69"/>
      <c r="J356" s="11"/>
      <c r="K356" s="10"/>
      <c r="L356" s="10"/>
    </row>
    <row r="357" spans="1:12" ht="15.95">
      <c r="A357" s="69"/>
      <c r="B357" s="69"/>
      <c r="C357" s="69"/>
      <c r="D357" s="71"/>
      <c r="E357" s="71"/>
      <c r="F357" s="71"/>
      <c r="G357" s="71"/>
      <c r="H357" s="71"/>
      <c r="I357" s="71"/>
      <c r="J357" s="11"/>
      <c r="K357" s="10"/>
      <c r="L357" s="10"/>
    </row>
    <row r="358" spans="1:12" ht="15.95">
      <c r="A358" s="69"/>
      <c r="B358" s="69"/>
      <c r="C358" s="72"/>
      <c r="D358" s="71"/>
      <c r="E358" s="71"/>
      <c r="F358" s="71"/>
      <c r="G358" s="71"/>
      <c r="H358" s="71"/>
      <c r="I358" s="71"/>
      <c r="J358" s="11"/>
      <c r="K358" s="10"/>
      <c r="L358" s="10"/>
    </row>
    <row r="359" spans="1:12" ht="15.95">
      <c r="A359" s="69"/>
      <c r="B359" s="69"/>
      <c r="C359" s="69"/>
      <c r="D359" s="71"/>
      <c r="E359" s="71"/>
      <c r="F359" s="71"/>
      <c r="G359" s="71"/>
      <c r="H359" s="71"/>
      <c r="I359" s="71"/>
      <c r="J359" s="10"/>
      <c r="K359" s="10"/>
      <c r="L359" s="10"/>
    </row>
    <row r="360" spans="1:12" ht="15.95">
      <c r="A360" s="69"/>
      <c r="B360" s="69"/>
      <c r="C360" s="72"/>
      <c r="D360" s="71"/>
      <c r="E360" s="71"/>
      <c r="F360" s="71"/>
      <c r="G360" s="71"/>
      <c r="H360" s="71"/>
      <c r="I360" s="71"/>
      <c r="J360" s="10"/>
      <c r="K360" s="10"/>
      <c r="L360" s="10"/>
    </row>
    <row r="361" spans="1:12" ht="15.95">
      <c r="A361" s="69"/>
      <c r="B361" s="69"/>
      <c r="C361" s="69"/>
      <c r="D361" s="71"/>
      <c r="E361" s="71"/>
      <c r="F361" s="71"/>
      <c r="G361" s="71"/>
      <c r="H361" s="71"/>
      <c r="I361" s="71"/>
      <c r="J361" s="11"/>
      <c r="K361" s="10"/>
      <c r="L361" s="10"/>
    </row>
    <row r="362" spans="1:12" ht="15.95">
      <c r="A362" s="69"/>
      <c r="B362" s="69"/>
      <c r="C362" s="75"/>
      <c r="D362" s="71"/>
      <c r="E362" s="71"/>
      <c r="F362" s="71"/>
      <c r="G362" s="71"/>
      <c r="H362" s="71"/>
      <c r="I362" s="71"/>
      <c r="J362" s="10"/>
      <c r="K362" s="10"/>
      <c r="L362" s="10"/>
    </row>
    <row r="363" spans="1:12" ht="15.95">
      <c r="A363" s="69"/>
      <c r="B363" s="69"/>
      <c r="C363" s="75"/>
      <c r="D363" s="71"/>
      <c r="E363" s="71"/>
      <c r="F363" s="71"/>
      <c r="G363" s="71"/>
      <c r="H363" s="71"/>
      <c r="I363" s="71"/>
      <c r="J363" s="12"/>
      <c r="K363" s="10"/>
      <c r="L363" s="10"/>
    </row>
    <row r="364" spans="1:12" ht="15.95">
      <c r="A364" s="69"/>
      <c r="B364" s="69"/>
      <c r="C364" s="75"/>
      <c r="D364" s="71"/>
      <c r="E364" s="71"/>
      <c r="F364" s="71"/>
      <c r="G364" s="71"/>
      <c r="H364" s="71"/>
      <c r="I364" s="71"/>
      <c r="J364" s="10"/>
      <c r="K364" s="10"/>
      <c r="L364" s="10"/>
    </row>
    <row r="365" spans="1:12" ht="15.95">
      <c r="A365" s="69"/>
      <c r="B365" s="69"/>
      <c r="C365" s="75"/>
      <c r="D365" s="76"/>
      <c r="E365" s="76"/>
      <c r="F365" s="76"/>
      <c r="G365" s="76"/>
      <c r="H365" s="76"/>
      <c r="I365" s="76"/>
      <c r="J365" s="10"/>
      <c r="K365" s="10"/>
      <c r="L365" s="10"/>
    </row>
    <row r="366" spans="1:12" ht="15.95">
      <c r="A366" s="69"/>
      <c r="B366" s="69"/>
      <c r="C366" s="75"/>
      <c r="D366" s="71"/>
      <c r="E366" s="76"/>
      <c r="F366" s="76"/>
      <c r="G366" s="76"/>
      <c r="H366" s="76"/>
      <c r="I366" s="71"/>
      <c r="J366" s="10"/>
      <c r="K366" s="10"/>
      <c r="L366" s="10"/>
    </row>
    <row r="367" spans="1:12" ht="15.95">
      <c r="A367" s="69"/>
      <c r="B367" s="69"/>
      <c r="C367" s="69"/>
      <c r="D367" s="71"/>
      <c r="E367" s="69"/>
      <c r="F367" s="71"/>
      <c r="G367" s="71"/>
      <c r="H367" s="71"/>
      <c r="I367" s="71"/>
      <c r="J367" s="10"/>
      <c r="K367" s="10"/>
      <c r="L367" s="10"/>
    </row>
    <row r="368" spans="1:12" ht="15.95">
      <c r="A368" s="69"/>
      <c r="B368" s="69"/>
      <c r="C368" s="75"/>
      <c r="D368" s="69"/>
      <c r="E368" s="69"/>
      <c r="F368" s="69"/>
      <c r="G368" s="69"/>
      <c r="H368" s="69"/>
      <c r="I368" s="69"/>
      <c r="J368" s="10"/>
      <c r="K368" s="10"/>
      <c r="L368" s="10"/>
    </row>
    <row r="369" spans="1:12" ht="15.95">
      <c r="A369" s="69"/>
      <c r="B369" s="69"/>
      <c r="C369" s="75"/>
      <c r="D369" s="71"/>
      <c r="E369" s="71"/>
      <c r="F369" s="71"/>
      <c r="G369" s="71"/>
      <c r="H369" s="71"/>
      <c r="I369" s="71"/>
      <c r="J369" s="11"/>
      <c r="K369" s="10"/>
      <c r="L369" s="10"/>
    </row>
    <row r="370" spans="1:12" ht="15.95">
      <c r="A370" s="69"/>
      <c r="B370" s="69"/>
      <c r="C370" s="75"/>
      <c r="D370" s="71"/>
      <c r="E370" s="71"/>
      <c r="F370" s="71"/>
      <c r="G370" s="71"/>
      <c r="H370" s="71"/>
      <c r="I370" s="71"/>
      <c r="J370" s="11"/>
      <c r="K370" s="10"/>
      <c r="L370" s="10"/>
    </row>
    <row r="371" spans="1:12" ht="15.95">
      <c r="A371" s="69"/>
      <c r="B371" s="69"/>
      <c r="C371" s="69"/>
      <c r="D371" s="71"/>
      <c r="E371" s="71"/>
      <c r="F371" s="71"/>
      <c r="G371" s="71"/>
      <c r="H371" s="71"/>
      <c r="I371" s="71"/>
      <c r="J371" s="10"/>
      <c r="K371" s="10"/>
      <c r="L371" s="10"/>
    </row>
    <row r="372" spans="1:12" ht="15.95">
      <c r="A372" s="69"/>
      <c r="B372" s="69"/>
      <c r="C372" s="69"/>
      <c r="D372" s="71"/>
      <c r="E372" s="71"/>
      <c r="F372" s="71"/>
      <c r="G372" s="71"/>
      <c r="H372" s="71"/>
      <c r="I372" s="71"/>
      <c r="J372" s="13"/>
      <c r="K372" s="13"/>
      <c r="L372" s="10"/>
    </row>
    <row r="373" spans="1:12" ht="15.95">
      <c r="A373" s="69"/>
      <c r="B373" s="69"/>
      <c r="C373" s="69"/>
      <c r="D373" s="71"/>
      <c r="E373" s="71"/>
      <c r="F373" s="71"/>
      <c r="G373" s="71"/>
      <c r="H373" s="71"/>
      <c r="I373" s="71"/>
      <c r="J373" s="13"/>
      <c r="K373" s="13"/>
      <c r="L373" s="13"/>
    </row>
    <row r="374" spans="1:12" ht="15.95">
      <c r="A374" s="69"/>
      <c r="B374" s="69"/>
      <c r="C374" s="69"/>
      <c r="D374" s="71"/>
      <c r="E374" s="71"/>
      <c r="F374" s="71"/>
      <c r="G374" s="71"/>
      <c r="H374" s="71"/>
      <c r="I374" s="71"/>
      <c r="J374" s="13"/>
      <c r="K374" s="13"/>
      <c r="L374" s="13"/>
    </row>
    <row r="375" spans="1:12" ht="15.95">
      <c r="A375" s="69"/>
      <c r="B375" s="69"/>
      <c r="C375" s="69"/>
      <c r="D375" s="71"/>
      <c r="E375" s="71"/>
      <c r="F375" s="71"/>
      <c r="G375" s="71"/>
      <c r="H375" s="71"/>
      <c r="I375" s="71"/>
      <c r="J375" s="10"/>
      <c r="K375" s="13"/>
      <c r="L375" s="13"/>
    </row>
    <row r="376" spans="1:12" ht="15.95">
      <c r="A376" s="69"/>
      <c r="B376" s="69"/>
      <c r="C376" s="69"/>
      <c r="D376" s="71"/>
      <c r="E376" s="71"/>
      <c r="F376" s="71"/>
      <c r="G376" s="71"/>
      <c r="H376" s="71"/>
      <c r="I376" s="71"/>
      <c r="J376" s="13"/>
      <c r="K376" s="13"/>
      <c r="L376" s="13"/>
    </row>
    <row r="377" spans="1:12" ht="15.95">
      <c r="A377" s="69"/>
      <c r="B377" s="69"/>
      <c r="C377" s="71"/>
      <c r="D377" s="76"/>
      <c r="E377" s="76"/>
      <c r="F377" s="76"/>
      <c r="G377" s="76"/>
      <c r="H377" s="76"/>
      <c r="I377" s="76"/>
      <c r="J377" s="13"/>
      <c r="K377" s="13"/>
      <c r="L377" s="13"/>
    </row>
    <row r="378" spans="1:12" ht="15.95">
      <c r="A378" s="69"/>
      <c r="B378" s="69"/>
      <c r="C378" s="69"/>
      <c r="D378" s="71"/>
      <c r="E378" s="71"/>
      <c r="F378" s="71"/>
      <c r="G378" s="71"/>
      <c r="H378" s="71"/>
      <c r="I378" s="71"/>
      <c r="J378" s="13"/>
      <c r="K378" s="13"/>
      <c r="L378" s="13"/>
    </row>
    <row r="379" spans="1:12" ht="15.95">
      <c r="A379" s="69"/>
      <c r="B379" s="69"/>
      <c r="C379" s="69"/>
      <c r="D379" s="71"/>
      <c r="E379" s="69"/>
      <c r="F379" s="71"/>
      <c r="G379" s="71"/>
      <c r="H379" s="71"/>
      <c r="I379" s="71"/>
      <c r="J379" s="13"/>
      <c r="K379" s="13"/>
      <c r="L379" s="13"/>
    </row>
    <row r="380" spans="1:12" ht="15.95">
      <c r="A380" s="69"/>
      <c r="B380" s="69"/>
      <c r="C380" s="69"/>
      <c r="D380" s="69"/>
      <c r="E380" s="69"/>
      <c r="F380" s="69"/>
      <c r="G380" s="69"/>
      <c r="H380" s="69"/>
      <c r="I380" s="69"/>
      <c r="J380" s="13"/>
      <c r="K380" s="13"/>
      <c r="L380" s="13"/>
    </row>
    <row r="381" spans="1:12" ht="15.95">
      <c r="A381" s="69"/>
      <c r="B381" s="69"/>
      <c r="C381" s="69"/>
      <c r="D381" s="71"/>
      <c r="E381" s="71"/>
      <c r="F381" s="71"/>
      <c r="G381" s="71"/>
      <c r="H381" s="71"/>
      <c r="I381" s="71"/>
      <c r="J381" s="13"/>
      <c r="K381" s="13"/>
      <c r="L381" s="10"/>
    </row>
    <row r="382" spans="1:12" ht="15.95">
      <c r="A382" s="69"/>
      <c r="B382" s="69"/>
      <c r="C382" s="69"/>
      <c r="D382" s="71"/>
      <c r="E382" s="71"/>
      <c r="F382" s="71"/>
      <c r="G382" s="71"/>
      <c r="H382" s="71"/>
      <c r="I382" s="71"/>
      <c r="J382" s="13"/>
      <c r="K382" s="13"/>
      <c r="L382" s="10"/>
    </row>
    <row r="383" spans="1:12" ht="15.95">
      <c r="A383" s="69"/>
      <c r="B383" s="69"/>
      <c r="C383" s="69"/>
      <c r="D383" s="71"/>
      <c r="E383" s="71"/>
      <c r="F383" s="71"/>
      <c r="G383" s="71"/>
      <c r="H383" s="71"/>
      <c r="I383" s="71"/>
      <c r="J383" s="13"/>
      <c r="K383" s="13"/>
      <c r="L383" s="13"/>
    </row>
    <row r="384" spans="1:12" ht="15.95">
      <c r="A384" s="69"/>
      <c r="B384" s="69"/>
      <c r="C384" s="72"/>
      <c r="D384" s="71"/>
      <c r="E384" s="71"/>
      <c r="F384" s="71"/>
      <c r="G384" s="71"/>
      <c r="H384" s="71"/>
      <c r="I384" s="71"/>
      <c r="J384" s="13"/>
      <c r="K384" s="13"/>
      <c r="L384" s="13"/>
    </row>
    <row r="385" spans="1:12" ht="15.95">
      <c r="A385" s="69"/>
      <c r="B385" s="69"/>
      <c r="C385" s="69"/>
      <c r="D385" s="71"/>
      <c r="E385" s="71"/>
      <c r="F385" s="71"/>
      <c r="G385" s="71"/>
      <c r="H385" s="71"/>
      <c r="I385" s="71"/>
      <c r="J385" s="13"/>
      <c r="K385" s="13"/>
      <c r="L385" s="13"/>
    </row>
    <row r="386" spans="1:12" ht="15.95">
      <c r="A386" s="69"/>
      <c r="B386" s="69"/>
      <c r="C386" s="69"/>
      <c r="D386" s="71"/>
      <c r="E386" s="71"/>
      <c r="F386" s="71"/>
      <c r="G386" s="71"/>
      <c r="H386" s="71"/>
      <c r="I386" s="71"/>
      <c r="J386" s="13"/>
      <c r="K386" s="13"/>
      <c r="L386" s="13"/>
    </row>
    <row r="387" spans="1:12" ht="15.95">
      <c r="A387" s="69"/>
      <c r="B387" s="69"/>
      <c r="C387" s="69"/>
      <c r="D387" s="71"/>
      <c r="E387" s="71"/>
      <c r="F387" s="71"/>
      <c r="G387" s="71"/>
      <c r="H387" s="71"/>
      <c r="I387" s="71"/>
      <c r="J387" s="13"/>
      <c r="K387" s="13"/>
      <c r="L387" s="13"/>
    </row>
    <row r="388" spans="1:12" ht="15.95">
      <c r="A388" s="69"/>
      <c r="B388" s="69"/>
      <c r="C388" s="69"/>
      <c r="D388" s="71"/>
      <c r="E388" s="71"/>
      <c r="F388" s="71"/>
      <c r="G388" s="71"/>
      <c r="H388" s="71"/>
      <c r="I388" s="71"/>
      <c r="J388" s="13"/>
      <c r="K388" s="13"/>
      <c r="L388" s="13"/>
    </row>
    <row r="389" spans="1:12" ht="15.95">
      <c r="A389" s="69"/>
      <c r="B389" s="69"/>
      <c r="C389" s="69"/>
      <c r="D389" s="76"/>
      <c r="E389" s="76"/>
      <c r="F389" s="76"/>
      <c r="G389" s="76"/>
      <c r="H389" s="76"/>
      <c r="I389" s="76"/>
      <c r="J389" s="13"/>
      <c r="K389" s="13"/>
      <c r="L389" s="13"/>
    </row>
    <row r="390" spans="1:12" ht="15.95">
      <c r="A390" s="69"/>
      <c r="B390" s="69"/>
      <c r="C390" s="69"/>
      <c r="D390" s="69"/>
      <c r="E390" s="69"/>
      <c r="F390" s="69"/>
      <c r="G390" s="69"/>
      <c r="H390" s="69"/>
      <c r="I390" s="69"/>
      <c r="J390" s="13"/>
      <c r="K390" s="13"/>
      <c r="L390" s="10"/>
    </row>
    <row r="391" spans="1:12" ht="15.95">
      <c r="A391" s="69"/>
      <c r="B391" s="69"/>
      <c r="C391" s="69"/>
      <c r="D391" s="69"/>
      <c r="E391" s="77"/>
      <c r="F391" s="69"/>
      <c r="G391" s="69"/>
      <c r="H391" s="69"/>
      <c r="I391" s="69"/>
      <c r="J391" s="13"/>
      <c r="K391" s="13"/>
      <c r="L391" s="10"/>
    </row>
    <row r="392" spans="1:12" ht="15.95">
      <c r="A392" s="69"/>
      <c r="B392" s="69"/>
      <c r="C392" s="69"/>
      <c r="D392" s="69"/>
      <c r="E392" s="69"/>
      <c r="F392" s="69"/>
      <c r="G392" s="69"/>
      <c r="H392" s="69"/>
      <c r="I392" s="69"/>
      <c r="J392" s="13"/>
      <c r="K392" s="13"/>
      <c r="L392" s="10"/>
    </row>
    <row r="393" spans="1:12" ht="15.95">
      <c r="A393" s="69"/>
      <c r="B393" s="69"/>
      <c r="C393" s="69"/>
      <c r="D393" s="71"/>
      <c r="E393" s="71"/>
      <c r="F393" s="71"/>
      <c r="G393" s="71"/>
      <c r="H393" s="71"/>
      <c r="I393" s="71"/>
      <c r="J393" s="13"/>
      <c r="K393" s="13"/>
      <c r="L393" s="10"/>
    </row>
    <row r="394" spans="1:12" ht="15.95">
      <c r="A394" s="69"/>
      <c r="B394" s="69"/>
      <c r="C394" s="69"/>
      <c r="D394" s="71"/>
      <c r="E394" s="77"/>
      <c r="F394" s="71"/>
      <c r="G394" s="71"/>
      <c r="H394" s="71"/>
      <c r="I394" s="71"/>
      <c r="J394" s="13"/>
      <c r="K394" s="13"/>
      <c r="L394" s="10"/>
    </row>
    <row r="395" spans="1:12" ht="15.95">
      <c r="A395" s="69"/>
      <c r="B395" s="69"/>
      <c r="C395" s="69"/>
      <c r="D395" s="71"/>
      <c r="E395" s="76"/>
      <c r="F395" s="76"/>
      <c r="G395" s="76"/>
      <c r="H395" s="76"/>
      <c r="I395" s="76"/>
      <c r="J395" s="13"/>
      <c r="K395" s="13"/>
      <c r="L395" s="10"/>
    </row>
    <row r="396" spans="1:12" ht="15.95">
      <c r="A396" s="69"/>
      <c r="B396" s="69"/>
      <c r="C396" s="69"/>
      <c r="D396" s="71"/>
      <c r="E396" s="71"/>
      <c r="F396" s="71"/>
      <c r="G396" s="71"/>
      <c r="H396" s="71"/>
      <c r="I396" s="71"/>
      <c r="J396" s="10"/>
      <c r="K396" s="10"/>
      <c r="L396" s="10"/>
    </row>
    <row r="397" spans="1:12" ht="15.95">
      <c r="A397" s="69"/>
      <c r="B397" s="69"/>
      <c r="C397" s="69"/>
      <c r="D397" s="69"/>
      <c r="E397" s="69"/>
      <c r="F397" s="69"/>
      <c r="G397" s="69"/>
      <c r="H397" s="69"/>
      <c r="I397" s="69"/>
      <c r="J397" s="13"/>
      <c r="K397" s="10"/>
      <c r="L397" s="10"/>
    </row>
    <row r="398" spans="1:12" ht="15.95">
      <c r="A398" s="69"/>
      <c r="B398" s="69"/>
      <c r="C398" s="69"/>
      <c r="D398" s="71"/>
      <c r="E398" s="71"/>
      <c r="F398" s="71"/>
      <c r="G398" s="71"/>
      <c r="H398" s="71"/>
      <c r="I398" s="71"/>
      <c r="J398" s="13"/>
      <c r="K398" s="10"/>
      <c r="L398" s="10"/>
    </row>
    <row r="399" spans="1:12" ht="15.95">
      <c r="A399" s="69"/>
      <c r="B399" s="69"/>
      <c r="C399" s="69"/>
      <c r="D399" s="71"/>
      <c r="E399" s="71"/>
      <c r="F399" s="71"/>
      <c r="G399" s="71"/>
      <c r="H399" s="71"/>
      <c r="I399" s="71"/>
    </row>
    <row r="400" spans="1:12" ht="15.95">
      <c r="A400" s="69"/>
      <c r="B400" s="69"/>
      <c r="C400" s="69"/>
      <c r="D400" s="71"/>
      <c r="E400" s="71"/>
      <c r="F400" s="71"/>
      <c r="G400" s="71"/>
      <c r="H400" s="71"/>
      <c r="I400" s="71"/>
    </row>
    <row r="401" spans="1:9" ht="15.95">
      <c r="A401" s="69"/>
      <c r="B401" s="69"/>
      <c r="C401" s="69"/>
      <c r="D401" s="71"/>
      <c r="E401" s="71"/>
      <c r="F401" s="71"/>
      <c r="G401" s="71"/>
      <c r="H401" s="71"/>
      <c r="I401" s="71"/>
    </row>
    <row r="402" spans="1:9" ht="15.95">
      <c r="A402" s="69"/>
      <c r="B402" s="69"/>
      <c r="C402" s="69"/>
      <c r="D402" s="71"/>
      <c r="E402" s="77"/>
      <c r="F402" s="71"/>
      <c r="G402" s="71"/>
      <c r="H402" s="71"/>
      <c r="I402" s="71"/>
    </row>
    <row r="403" spans="1:9" ht="15.95">
      <c r="A403" s="69"/>
      <c r="B403" s="69"/>
      <c r="C403" s="69"/>
      <c r="D403" s="71"/>
      <c r="E403" s="71"/>
      <c r="F403" s="71"/>
      <c r="G403" s="71"/>
      <c r="H403" s="71"/>
      <c r="I403" s="71"/>
    </row>
    <row r="404" spans="1:9" ht="15.95">
      <c r="A404" s="69"/>
      <c r="B404" s="69"/>
      <c r="C404" s="69"/>
      <c r="D404" s="71"/>
      <c r="E404" s="76"/>
      <c r="F404" s="76"/>
      <c r="G404" s="76"/>
      <c r="H404" s="76"/>
      <c r="I404" s="76"/>
    </row>
    <row r="405" spans="1:9" ht="15.95">
      <c r="A405" s="69"/>
      <c r="B405" s="69"/>
      <c r="C405" s="69"/>
      <c r="D405" s="69"/>
      <c r="E405" s="69"/>
      <c r="F405" s="69"/>
      <c r="G405" s="69"/>
      <c r="H405" s="69"/>
      <c r="I405" s="69"/>
    </row>
    <row r="406" spans="1:9" ht="15.95">
      <c r="A406" s="69"/>
      <c r="B406" s="69"/>
      <c r="C406" s="69"/>
      <c r="D406" s="71"/>
      <c r="E406" s="71"/>
      <c r="F406" s="71"/>
      <c r="G406" s="71"/>
      <c r="H406" s="71"/>
      <c r="I406" s="71"/>
    </row>
    <row r="407" spans="1:9" ht="15.95">
      <c r="A407" s="69"/>
      <c r="B407" s="69"/>
      <c r="C407" s="69"/>
      <c r="D407" s="71"/>
      <c r="E407" s="71"/>
      <c r="F407" s="71"/>
      <c r="G407" s="71"/>
      <c r="H407" s="71"/>
      <c r="I407" s="71"/>
    </row>
    <row r="408" spans="1:9" ht="15.95">
      <c r="A408" s="69"/>
      <c r="B408" s="69"/>
      <c r="C408" s="69"/>
      <c r="D408" s="71"/>
      <c r="E408" s="71"/>
      <c r="F408" s="71"/>
      <c r="G408" s="71"/>
      <c r="H408" s="71"/>
      <c r="I408" s="71"/>
    </row>
    <row r="409" spans="1:9" ht="15.95">
      <c r="A409" s="69"/>
      <c r="B409" s="69"/>
      <c r="C409" s="69"/>
      <c r="D409" s="69"/>
      <c r="E409" s="69"/>
      <c r="F409" s="70"/>
      <c r="G409" s="70"/>
      <c r="H409" s="78"/>
      <c r="I409" s="70"/>
    </row>
    <row r="410" spans="1:9" ht="15.95">
      <c r="A410" s="69"/>
      <c r="B410" s="69"/>
      <c r="C410" s="69"/>
      <c r="D410" s="69"/>
      <c r="E410" s="69"/>
      <c r="F410" s="69"/>
      <c r="G410" s="69"/>
      <c r="H410" s="69"/>
      <c r="I410" s="69"/>
    </row>
    <row r="411" spans="1:9" ht="15.95">
      <c r="A411" s="69"/>
      <c r="B411" s="69"/>
      <c r="C411" s="69"/>
      <c r="D411" s="69"/>
      <c r="E411" s="71"/>
      <c r="F411" s="70"/>
      <c r="G411" s="70"/>
      <c r="H411" s="71"/>
      <c r="I411" s="79"/>
    </row>
    <row r="412" spans="1:9" ht="15.95">
      <c r="A412" s="69"/>
      <c r="B412" s="69"/>
      <c r="C412" s="69"/>
      <c r="D412" s="69"/>
      <c r="E412" s="69"/>
      <c r="F412" s="70"/>
      <c r="G412" s="70"/>
      <c r="H412" s="78"/>
      <c r="I412" s="76"/>
    </row>
    <row r="413" spans="1:9" ht="15.95">
      <c r="A413" s="69"/>
      <c r="B413" s="69"/>
      <c r="C413" s="69"/>
      <c r="D413" s="69"/>
      <c r="E413" s="69"/>
      <c r="F413" s="70"/>
      <c r="G413" s="70"/>
      <c r="H413" s="78"/>
      <c r="I413" s="76"/>
    </row>
    <row r="414" spans="1:9" ht="15.95">
      <c r="A414" s="69"/>
      <c r="B414" s="69"/>
      <c r="C414" s="69"/>
      <c r="D414" s="69"/>
      <c r="E414" s="69"/>
      <c r="F414" s="70"/>
      <c r="G414" s="70"/>
      <c r="H414" s="78"/>
      <c r="I414" s="76"/>
    </row>
    <row r="415" spans="1:9" ht="15.95">
      <c r="A415" s="69"/>
      <c r="B415" s="69"/>
      <c r="C415" s="69"/>
      <c r="D415" s="69"/>
      <c r="E415" s="69"/>
      <c r="F415" s="70"/>
      <c r="G415" s="70"/>
      <c r="H415" s="71"/>
      <c r="I415" s="76"/>
    </row>
    <row r="416" spans="1:9" ht="15.95">
      <c r="A416" s="69"/>
      <c r="B416" s="69"/>
      <c r="C416" s="70"/>
      <c r="D416" s="69"/>
      <c r="E416" s="69"/>
      <c r="F416" s="70"/>
      <c r="G416" s="70"/>
      <c r="H416" s="71"/>
      <c r="I416" s="76"/>
    </row>
    <row r="417" spans="1:9" ht="15.95">
      <c r="A417" s="69"/>
      <c r="B417" s="69"/>
      <c r="C417" s="69"/>
      <c r="D417" s="69"/>
      <c r="E417" s="69"/>
      <c r="F417" s="70"/>
      <c r="G417" s="70"/>
      <c r="H417" s="71"/>
      <c r="I417" s="76"/>
    </row>
    <row r="418" spans="1:9" ht="15.95">
      <c r="A418" s="69"/>
      <c r="B418" s="69"/>
      <c r="C418" s="70"/>
      <c r="D418" s="69"/>
      <c r="E418" s="69"/>
      <c r="F418" s="70"/>
      <c r="G418" s="70"/>
      <c r="H418" s="71"/>
      <c r="I418" s="76"/>
    </row>
    <row r="419" spans="1:9" ht="15.95">
      <c r="A419" s="69"/>
      <c r="B419" s="69"/>
      <c r="C419" s="70"/>
      <c r="D419" s="69"/>
      <c r="E419" s="69"/>
      <c r="F419" s="70"/>
      <c r="G419" s="70"/>
      <c r="H419" s="71"/>
      <c r="I419" s="76"/>
    </row>
    <row r="420" spans="1:9" ht="15.95">
      <c r="A420" s="69"/>
      <c r="B420" s="69"/>
      <c r="C420" s="70"/>
      <c r="D420" s="70"/>
      <c r="E420" s="69"/>
      <c r="F420" s="70"/>
      <c r="G420" s="70"/>
      <c r="H420" s="71"/>
      <c r="I420" s="76"/>
    </row>
    <row r="421" spans="1:9" ht="15.95">
      <c r="A421" s="69"/>
      <c r="B421" s="69"/>
      <c r="C421" s="70"/>
      <c r="D421" s="69"/>
      <c r="E421" s="69"/>
      <c r="F421" s="70"/>
      <c r="G421" s="70"/>
      <c r="H421" s="71"/>
      <c r="I421" s="76"/>
    </row>
    <row r="422" spans="1:9" ht="15.95">
      <c r="A422" s="69"/>
      <c r="B422" s="69"/>
      <c r="C422" s="70"/>
      <c r="D422" s="69"/>
      <c r="E422" s="69"/>
      <c r="F422" s="69"/>
      <c r="G422" s="69"/>
      <c r="H422" s="69"/>
      <c r="I422" s="76"/>
    </row>
    <row r="423" spans="1:9" ht="15.95">
      <c r="A423" s="69"/>
      <c r="B423" s="69"/>
      <c r="C423" s="70"/>
      <c r="D423" s="69"/>
      <c r="E423" s="69"/>
      <c r="F423" s="70"/>
      <c r="G423" s="70"/>
      <c r="H423" s="71"/>
      <c r="I423" s="76"/>
    </row>
    <row r="424" spans="1:9" ht="15.95">
      <c r="A424" s="69"/>
      <c r="B424" s="69"/>
      <c r="C424" s="70"/>
      <c r="D424" s="69"/>
      <c r="E424" s="69"/>
      <c r="F424" s="69"/>
      <c r="G424" s="69"/>
      <c r="H424" s="69"/>
      <c r="I424" s="76"/>
    </row>
    <row r="425" spans="1:9" ht="15.95">
      <c r="A425" s="69"/>
      <c r="B425" s="69"/>
      <c r="C425" s="69"/>
      <c r="D425" s="69"/>
      <c r="E425" s="69"/>
      <c r="F425" s="70"/>
      <c r="G425" s="70"/>
      <c r="H425" s="71"/>
      <c r="I425" s="69"/>
    </row>
    <row r="426" spans="1:9" ht="15.95">
      <c r="A426" s="69"/>
      <c r="B426" s="69"/>
      <c r="C426" s="69"/>
      <c r="D426" s="69"/>
      <c r="E426" s="69"/>
      <c r="F426" s="69"/>
      <c r="G426" s="69"/>
      <c r="H426" s="69"/>
      <c r="I426" s="69"/>
    </row>
    <row r="427" spans="1:9" ht="15.95">
      <c r="A427" s="69"/>
      <c r="B427" s="69"/>
      <c r="C427" s="69"/>
      <c r="D427" s="69"/>
      <c r="E427" s="69"/>
      <c r="F427" s="69"/>
      <c r="G427" s="69"/>
      <c r="H427" s="69"/>
      <c r="I427" s="69"/>
    </row>
  </sheetData>
  <sheetProtection algorithmName="SHA-512" hashValue="0bfu+yVuJOLmNBlfOgiUmRWrvTkke7hPlnXQhGvRcE8zjSfWY0LCdb0iLi/4SZP2NumBp4UJDSM4JTsnU7QafQ==" saltValue="9Mrqyt2AiMsPlgCdoIBPsA==" spinCount="100000" sheet="1" objects="1" scenarios="1"/>
  <phoneticPr fontId="4" type="noConversion"/>
  <conditionalFormatting sqref="I257">
    <cfRule type="cellIs" dxfId="2" priority="1" stopIfTrue="1" operator="equal">
      <formula>$J$222</formula>
    </cfRule>
    <cfRule type="cellIs" dxfId="1" priority="2" stopIfTrue="1" operator="equal">
      <formula>$J$223</formula>
    </cfRule>
    <cfRule type="cellIs" dxfId="0" priority="3" stopIfTrue="1" operator="equal">
      <formula>$J$224</formula>
    </cfRule>
  </conditionalFormatting>
  <hyperlinks>
    <hyperlink ref="D275" r:id="rId1" xr:uid="{00000000-0004-0000-0000-000000000000}"/>
  </hyperlinks>
  <pageMargins left="0.74803149606299213" right="0.74803149606299213" top="0.98425196850393704" bottom="0.98425196850393704" header="0.51181102362204722" footer="0.51181102362204722"/>
  <pageSetup scale="43" orientation="portrait" blackAndWhite="1" r:id="rId2"/>
  <headerFooter alignWithMargins="0">
    <oddHeader xml:space="preserve">&amp;L                                                                        </oddHeader>
    <oddFooter>&amp;CPage -&amp;P-&amp;R</oddFooter>
  </headerFooter>
  <rowBreaks count="3" manualBreakCount="3">
    <brk id="104" max="8" man="1"/>
    <brk id="157" max="8" man="1"/>
    <brk id="210" max="8"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A485-C211-4D9F-81C9-0FAAF6B9B1D2}">
  <dimension ref="A3:P40"/>
  <sheetViews>
    <sheetView topLeftCell="A4" workbookViewId="0">
      <selection activeCell="B5" sqref="B5:B7"/>
    </sheetView>
  </sheetViews>
  <sheetFormatPr defaultRowHeight="12.4"/>
  <cols>
    <col min="1" max="1" width="13" customWidth="1"/>
  </cols>
  <sheetData>
    <row r="3" spans="1:16">
      <c r="A3" t="s">
        <v>297</v>
      </c>
    </row>
    <row r="5" spans="1:16">
      <c r="A5" t="s">
        <v>158</v>
      </c>
      <c r="B5" t="s">
        <v>298</v>
      </c>
    </row>
    <row r="6" spans="1:16">
      <c r="B6" t="s">
        <v>299</v>
      </c>
    </row>
    <row r="7" spans="1:16">
      <c r="B7" t="s">
        <v>300</v>
      </c>
    </row>
    <row r="9" spans="1:16">
      <c r="A9" t="s">
        <v>301</v>
      </c>
    </row>
    <row r="10" spans="1:16">
      <c r="B10" t="s">
        <v>302</v>
      </c>
    </row>
    <row r="11" spans="1:16">
      <c r="B11" t="s">
        <v>303</v>
      </c>
    </row>
    <row r="12" spans="1:16">
      <c r="B12" t="s">
        <v>304</v>
      </c>
    </row>
    <row r="14" spans="1:16">
      <c r="A14" t="s">
        <v>305</v>
      </c>
    </row>
    <row r="15" spans="1:16">
      <c r="B15" t="s">
        <v>306</v>
      </c>
      <c r="K15" t="s">
        <v>307</v>
      </c>
      <c r="P15" t="s">
        <v>308</v>
      </c>
    </row>
    <row r="16" spans="1:16">
      <c r="C16" t="s">
        <v>309</v>
      </c>
      <c r="D16" t="s">
        <v>310</v>
      </c>
      <c r="E16" t="s">
        <v>61</v>
      </c>
      <c r="G16" t="s">
        <v>311</v>
      </c>
      <c r="H16" t="s">
        <v>312</v>
      </c>
      <c r="I16" t="s">
        <v>313</v>
      </c>
      <c r="J16" t="s">
        <v>145</v>
      </c>
    </row>
    <row r="17" spans="1:10">
      <c r="A17" t="s">
        <v>145</v>
      </c>
      <c r="B17" t="s">
        <v>137</v>
      </c>
      <c r="C17">
        <v>42</v>
      </c>
      <c r="G17">
        <v>14</v>
      </c>
      <c r="H17">
        <f>G17*1.5</f>
        <v>21</v>
      </c>
      <c r="I17">
        <v>21</v>
      </c>
      <c r="J17" t="s">
        <v>314</v>
      </c>
    </row>
    <row r="18" spans="1:10">
      <c r="B18" t="s">
        <v>315</v>
      </c>
      <c r="D18">
        <v>42</v>
      </c>
      <c r="E18">
        <v>42</v>
      </c>
      <c r="G18">
        <v>28</v>
      </c>
      <c r="H18">
        <f t="shared" ref="H18:H26" si="0">G18*1.5</f>
        <v>42</v>
      </c>
      <c r="I18">
        <v>42</v>
      </c>
    </row>
    <row r="19" spans="1:10">
      <c r="A19" t="s">
        <v>316</v>
      </c>
      <c r="B19" t="s">
        <v>137</v>
      </c>
      <c r="C19">
        <v>30</v>
      </c>
      <c r="E19">
        <v>85</v>
      </c>
      <c r="G19">
        <v>38</v>
      </c>
      <c r="H19">
        <f t="shared" si="0"/>
        <v>57</v>
      </c>
      <c r="I19">
        <v>57</v>
      </c>
      <c r="J19" t="s">
        <v>151</v>
      </c>
    </row>
    <row r="20" spans="1:10">
      <c r="B20" t="s">
        <v>315</v>
      </c>
      <c r="C20">
        <v>55</v>
      </c>
      <c r="D20">
        <v>85</v>
      </c>
      <c r="G20">
        <v>47</v>
      </c>
      <c r="H20">
        <f t="shared" si="0"/>
        <v>70.5</v>
      </c>
      <c r="I20">
        <v>71</v>
      </c>
      <c r="J20" t="s">
        <v>317</v>
      </c>
    </row>
    <row r="21" spans="1:10">
      <c r="A21" t="s">
        <v>318</v>
      </c>
      <c r="B21" t="s">
        <v>137</v>
      </c>
      <c r="E21">
        <v>30</v>
      </c>
      <c r="G21">
        <v>10</v>
      </c>
      <c r="H21">
        <f t="shared" si="0"/>
        <v>15</v>
      </c>
      <c r="I21">
        <v>15</v>
      </c>
      <c r="J21" t="s">
        <v>319</v>
      </c>
    </row>
    <row r="22" spans="1:10">
      <c r="B22" t="s">
        <v>315</v>
      </c>
      <c r="C22">
        <v>30</v>
      </c>
      <c r="D22">
        <v>30</v>
      </c>
      <c r="G22">
        <v>20</v>
      </c>
      <c r="H22">
        <f t="shared" si="0"/>
        <v>30</v>
      </c>
      <c r="I22">
        <v>30</v>
      </c>
    </row>
    <row r="23" spans="1:10">
      <c r="A23" t="s">
        <v>320</v>
      </c>
      <c r="B23" t="s">
        <v>137</v>
      </c>
      <c r="G23">
        <v>0</v>
      </c>
      <c r="H23">
        <f t="shared" si="0"/>
        <v>0</v>
      </c>
      <c r="I23">
        <v>0</v>
      </c>
    </row>
    <row r="24" spans="1:10">
      <c r="B24" t="s">
        <v>315</v>
      </c>
      <c r="C24">
        <v>70</v>
      </c>
      <c r="D24">
        <v>70</v>
      </c>
      <c r="E24">
        <v>70</v>
      </c>
      <c r="G24">
        <v>70</v>
      </c>
      <c r="H24">
        <f t="shared" si="0"/>
        <v>105</v>
      </c>
      <c r="I24">
        <v>105</v>
      </c>
    </row>
    <row r="25" spans="1:10">
      <c r="A25" t="s">
        <v>154</v>
      </c>
      <c r="B25" t="s">
        <v>137</v>
      </c>
      <c r="D25">
        <v>16</v>
      </c>
      <c r="G25">
        <v>5</v>
      </c>
      <c r="H25">
        <f t="shared" si="0"/>
        <v>7.5</v>
      </c>
      <c r="I25">
        <v>8</v>
      </c>
      <c r="J25" t="s">
        <v>154</v>
      </c>
    </row>
    <row r="26" spans="1:10">
      <c r="B26" t="s">
        <v>315</v>
      </c>
      <c r="C26">
        <v>16</v>
      </c>
      <c r="E26">
        <v>16</v>
      </c>
      <c r="G26">
        <v>11</v>
      </c>
      <c r="H26">
        <f t="shared" si="0"/>
        <v>16.5</v>
      </c>
      <c r="I26">
        <v>16</v>
      </c>
      <c r="J26" s="237" t="s">
        <v>321</v>
      </c>
    </row>
    <row r="27" spans="1:10">
      <c r="C27">
        <f>SUM(C17:C26)</f>
        <v>243</v>
      </c>
      <c r="D27">
        <f t="shared" ref="D27:E27" si="1">SUM(D17:D26)</f>
        <v>243</v>
      </c>
      <c r="E27">
        <f t="shared" si="1"/>
        <v>243</v>
      </c>
      <c r="G27">
        <f>SUM(G17:G26)</f>
        <v>243</v>
      </c>
      <c r="H27">
        <f>SUM(H17:H26)</f>
        <v>364.5</v>
      </c>
      <c r="I27">
        <f>SUM(I17:I26)</f>
        <v>365</v>
      </c>
    </row>
    <row r="28" spans="1:10">
      <c r="B28" t="s">
        <v>322</v>
      </c>
    </row>
    <row r="32" spans="1:10">
      <c r="A32" t="s">
        <v>323</v>
      </c>
    </row>
    <row r="33" spans="1:4">
      <c r="A33" s="237" t="s">
        <v>324</v>
      </c>
      <c r="C33" t="s">
        <v>325</v>
      </c>
      <c r="D33">
        <v>966</v>
      </c>
    </row>
    <row r="34" spans="1:4">
      <c r="C34" t="s">
        <v>326</v>
      </c>
      <c r="D34">
        <v>48</v>
      </c>
    </row>
    <row r="35" spans="1:4" s="236" customFormat="1" ht="24.95">
      <c r="C35" s="236" t="s">
        <v>327</v>
      </c>
      <c r="D35" s="236">
        <v>116</v>
      </c>
    </row>
    <row r="36" spans="1:4">
      <c r="C36" s="237" t="s">
        <v>328</v>
      </c>
      <c r="D36">
        <v>29</v>
      </c>
    </row>
    <row r="39" spans="1:4">
      <c r="B39" t="s">
        <v>329</v>
      </c>
    </row>
    <row r="40" spans="1:4">
      <c r="B40" t="s">
        <v>330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33DE-9002-46E4-9C9F-62A1106C8EAF}">
  <dimension ref="A1:S45"/>
  <sheetViews>
    <sheetView workbookViewId="0">
      <selection activeCell="M12" sqref="M12"/>
    </sheetView>
  </sheetViews>
  <sheetFormatPr defaultRowHeight="12.4"/>
  <cols>
    <col min="1" max="1" width="19.5703125" bestFit="1" customWidth="1"/>
    <col min="2" max="2" width="11.85546875" bestFit="1" customWidth="1"/>
  </cols>
  <sheetData>
    <row r="1" spans="1:19">
      <c r="A1" t="s">
        <v>331</v>
      </c>
      <c r="B1">
        <v>2023</v>
      </c>
      <c r="C1" t="s">
        <v>332</v>
      </c>
      <c r="F1" t="s">
        <v>333</v>
      </c>
    </row>
    <row r="2" spans="1:19">
      <c r="A2" t="s">
        <v>334</v>
      </c>
      <c r="B2">
        <v>158.15</v>
      </c>
      <c r="C2">
        <v>162.02000000000001</v>
      </c>
      <c r="E2" t="s">
        <v>335</v>
      </c>
    </row>
    <row r="4" spans="1:19">
      <c r="A4" t="s">
        <v>336</v>
      </c>
      <c r="C4" t="s">
        <v>332</v>
      </c>
    </row>
    <row r="5" spans="1:19">
      <c r="A5" t="s">
        <v>337</v>
      </c>
      <c r="B5">
        <v>158.15</v>
      </c>
      <c r="C5">
        <v>162.02000000000001</v>
      </c>
      <c r="E5" t="s">
        <v>338</v>
      </c>
      <c r="K5" t="s">
        <v>339</v>
      </c>
    </row>
    <row r="7" spans="1:19">
      <c r="L7">
        <v>2023</v>
      </c>
      <c r="M7" t="s">
        <v>340</v>
      </c>
    </row>
    <row r="8" spans="1:19">
      <c r="A8" t="s">
        <v>341</v>
      </c>
      <c r="B8" t="s">
        <v>86</v>
      </c>
      <c r="C8" t="s">
        <v>342</v>
      </c>
      <c r="D8" t="s">
        <v>84</v>
      </c>
      <c r="K8" t="s">
        <v>343</v>
      </c>
    </row>
    <row r="9" spans="1:19">
      <c r="A9" t="s">
        <v>334</v>
      </c>
      <c r="E9" t="s">
        <v>344</v>
      </c>
      <c r="Q9" t="s">
        <v>345</v>
      </c>
    </row>
    <row r="10" spans="1:19">
      <c r="B10">
        <v>234</v>
      </c>
      <c r="C10">
        <v>267</v>
      </c>
      <c r="D10">
        <v>310</v>
      </c>
      <c r="E10" t="s">
        <v>346</v>
      </c>
      <c r="F10" t="s">
        <v>347</v>
      </c>
      <c r="K10" t="s">
        <v>348</v>
      </c>
      <c r="L10" t="s">
        <v>349</v>
      </c>
      <c r="M10" t="s">
        <v>350</v>
      </c>
      <c r="N10" t="s">
        <v>351</v>
      </c>
      <c r="O10" t="s">
        <v>352</v>
      </c>
      <c r="Q10" t="s">
        <v>348</v>
      </c>
      <c r="R10" t="s">
        <v>349</v>
      </c>
      <c r="S10" t="s">
        <v>350</v>
      </c>
    </row>
    <row r="11" spans="1:19">
      <c r="B11">
        <v>237</v>
      </c>
      <c r="C11">
        <v>263</v>
      </c>
      <c r="D11">
        <v>300</v>
      </c>
      <c r="E11" t="s">
        <v>353</v>
      </c>
      <c r="K11">
        <v>2024</v>
      </c>
    </row>
    <row r="12" spans="1:19">
      <c r="K12">
        <v>2023</v>
      </c>
      <c r="L12">
        <v>51168</v>
      </c>
      <c r="M12">
        <v>266.5772314727954</v>
      </c>
      <c r="N12">
        <v>234.15666666666672</v>
      </c>
      <c r="O12">
        <v>310.5066666666666</v>
      </c>
      <c r="Q12">
        <v>2023</v>
      </c>
      <c r="R12">
        <v>61316</v>
      </c>
      <c r="S12">
        <v>158.15312854719815</v>
      </c>
    </row>
    <row r="13" spans="1:19">
      <c r="A13" t="s">
        <v>354</v>
      </c>
      <c r="B13" t="s">
        <v>355</v>
      </c>
      <c r="C13" t="s">
        <v>356</v>
      </c>
      <c r="K13">
        <v>2022</v>
      </c>
      <c r="L13">
        <v>53553</v>
      </c>
      <c r="M13">
        <v>273.12822699008473</v>
      </c>
      <c r="N13">
        <v>244.37166666666664</v>
      </c>
      <c r="O13">
        <v>324.46999999999997</v>
      </c>
      <c r="Q13">
        <v>2022</v>
      </c>
      <c r="R13">
        <v>59194</v>
      </c>
      <c r="S13">
        <v>164.40151924181509</v>
      </c>
    </row>
    <row r="14" spans="1:19">
      <c r="A14" t="s">
        <v>357</v>
      </c>
      <c r="B14">
        <v>305</v>
      </c>
      <c r="C14">
        <v>350</v>
      </c>
      <c r="E14" t="s">
        <v>358</v>
      </c>
      <c r="F14">
        <v>43282</v>
      </c>
      <c r="G14">
        <v>280</v>
      </c>
      <c r="K14">
        <v>2021</v>
      </c>
      <c r="L14">
        <v>47984</v>
      </c>
      <c r="M14">
        <v>284.82975825275099</v>
      </c>
      <c r="N14">
        <v>268.59750000000003</v>
      </c>
      <c r="O14">
        <v>324.89083333333332</v>
      </c>
      <c r="Q14">
        <v>2021</v>
      </c>
      <c r="R14">
        <v>51739</v>
      </c>
      <c r="S14">
        <v>197.00352268114975</v>
      </c>
    </row>
    <row r="15" spans="1:19">
      <c r="A15" t="s">
        <v>359</v>
      </c>
      <c r="B15">
        <v>405</v>
      </c>
      <c r="C15">
        <v>700</v>
      </c>
      <c r="E15" t="s">
        <v>358</v>
      </c>
      <c r="F15">
        <v>43282</v>
      </c>
      <c r="G15">
        <v>380</v>
      </c>
      <c r="K15">
        <v>2020</v>
      </c>
      <c r="L15">
        <v>32994</v>
      </c>
      <c r="M15">
        <v>273.7042725950173</v>
      </c>
      <c r="N15" s="233">
        <v>242.2381818181818</v>
      </c>
      <c r="O15">
        <v>306.12727272727278</v>
      </c>
      <c r="Q15">
        <v>2020</v>
      </c>
      <c r="R15">
        <v>49998</v>
      </c>
      <c r="S15">
        <v>176.26932350779782</v>
      </c>
    </row>
    <row r="16" spans="1:19">
      <c r="K16">
        <v>2019</v>
      </c>
      <c r="L16">
        <v>30672</v>
      </c>
      <c r="M16">
        <v>234.81740936358892</v>
      </c>
      <c r="N16">
        <v>207.82727272727271</v>
      </c>
      <c r="O16">
        <v>262.53818181818184</v>
      </c>
      <c r="Q16">
        <v>2019</v>
      </c>
      <c r="R16">
        <v>53893</v>
      </c>
      <c r="S16">
        <v>135.47102703505087</v>
      </c>
    </row>
    <row r="17" spans="1:19">
      <c r="A17" t="s">
        <v>360</v>
      </c>
      <c r="K17">
        <v>2018</v>
      </c>
      <c r="L17">
        <v>30669</v>
      </c>
      <c r="M17">
        <v>244.45789135609232</v>
      </c>
      <c r="N17">
        <v>225.23749999999998</v>
      </c>
      <c r="O17">
        <v>275.73250000000002</v>
      </c>
      <c r="Q17">
        <v>2018</v>
      </c>
      <c r="R17">
        <v>47650</v>
      </c>
      <c r="S17">
        <v>140.78956810073453</v>
      </c>
    </row>
    <row r="18" spans="1:19">
      <c r="A18" t="s">
        <v>361</v>
      </c>
      <c r="B18">
        <v>6.5</v>
      </c>
      <c r="M18">
        <f>AVERAGE(M12:M17)</f>
        <v>262.91913167172157</v>
      </c>
      <c r="N18">
        <f t="shared" ref="N18:O18" si="0">AVERAGE(N12:N17)</f>
        <v>237.07146464646465</v>
      </c>
      <c r="O18">
        <f t="shared" si="0"/>
        <v>300.71090909090907</v>
      </c>
      <c r="S18">
        <f>AVERAGE(S12:S17)</f>
        <v>162.0146815189577</v>
      </c>
    </row>
    <row r="19" spans="1:19">
      <c r="A19" t="s">
        <v>360</v>
      </c>
      <c r="B19">
        <v>0.42</v>
      </c>
      <c r="E19" t="s">
        <v>344</v>
      </c>
      <c r="F19" t="s">
        <v>362</v>
      </c>
      <c r="K19">
        <v>2017</v>
      </c>
      <c r="Q19">
        <v>2017</v>
      </c>
      <c r="R19">
        <v>44118</v>
      </c>
      <c r="S19">
        <v>138.32330160025387</v>
      </c>
    </row>
    <row r="20" spans="1:19">
      <c r="K20">
        <v>2016</v>
      </c>
      <c r="Q20">
        <v>2016</v>
      </c>
      <c r="R20">
        <v>42259</v>
      </c>
      <c r="S20">
        <v>125.86082964575593</v>
      </c>
    </row>
    <row r="21" spans="1:19">
      <c r="A21" t="s">
        <v>363</v>
      </c>
      <c r="B21" t="s">
        <v>364</v>
      </c>
      <c r="C21" t="s">
        <v>365</v>
      </c>
      <c r="D21" t="s">
        <v>113</v>
      </c>
      <c r="K21">
        <v>2015</v>
      </c>
      <c r="Q21">
        <v>2015</v>
      </c>
      <c r="R21">
        <v>46103</v>
      </c>
      <c r="S21">
        <v>121.48076047111901</v>
      </c>
    </row>
    <row r="22" spans="1:19">
      <c r="A22" t="s">
        <v>366</v>
      </c>
      <c r="B22" t="s">
        <v>367</v>
      </c>
      <c r="C22">
        <v>3.55</v>
      </c>
      <c r="D22">
        <v>1.610254828496521</v>
      </c>
      <c r="K22">
        <v>2014</v>
      </c>
      <c r="Q22">
        <v>2014</v>
      </c>
      <c r="R22">
        <v>52507</v>
      </c>
      <c r="S22">
        <v>95.708876721199076</v>
      </c>
    </row>
    <row r="23" spans="1:19">
      <c r="A23" t="s">
        <v>132</v>
      </c>
      <c r="B23" t="s">
        <v>368</v>
      </c>
      <c r="C23">
        <v>0.54</v>
      </c>
      <c r="D23">
        <v>0.24493988000540431</v>
      </c>
      <c r="K23">
        <v>2013</v>
      </c>
      <c r="Q23">
        <v>2013</v>
      </c>
      <c r="R23">
        <v>45725</v>
      </c>
      <c r="S23">
        <v>75.704820557681799</v>
      </c>
    </row>
    <row r="24" spans="1:19">
      <c r="A24" t="s">
        <v>369</v>
      </c>
      <c r="B24" t="s">
        <v>370</v>
      </c>
      <c r="C24">
        <v>0.5</v>
      </c>
      <c r="D24">
        <v>0.22679618519018915</v>
      </c>
      <c r="E24" t="s">
        <v>371</v>
      </c>
      <c r="K24" t="s">
        <v>372</v>
      </c>
      <c r="Q24" t="s">
        <v>372</v>
      </c>
      <c r="S24">
        <v>122.95073560143626</v>
      </c>
    </row>
    <row r="25" spans="1:19">
      <c r="A25" t="s">
        <v>373</v>
      </c>
      <c r="B25" t="s">
        <v>374</v>
      </c>
      <c r="C25">
        <v>0.72</v>
      </c>
      <c r="D25">
        <v>0.3265865066738724</v>
      </c>
      <c r="E25" t="s">
        <v>375</v>
      </c>
    </row>
    <row r="26" spans="1:19">
      <c r="A26" t="s">
        <v>376</v>
      </c>
      <c r="B26" t="s">
        <v>377</v>
      </c>
      <c r="C26">
        <v>0.5</v>
      </c>
      <c r="D26">
        <v>0.22679618519018915</v>
      </c>
    </row>
    <row r="27" spans="1:19">
      <c r="A27" t="s">
        <v>378</v>
      </c>
      <c r="B27" t="s">
        <v>379</v>
      </c>
      <c r="C27">
        <v>1.17</v>
      </c>
      <c r="D27">
        <v>0.53070307334504263</v>
      </c>
    </row>
    <row r="28" spans="1:19">
      <c r="A28" t="s">
        <v>380</v>
      </c>
      <c r="B28" t="s">
        <v>381</v>
      </c>
      <c r="C28">
        <v>0.4</v>
      </c>
      <c r="D28">
        <v>0.18143694815215133</v>
      </c>
    </row>
    <row r="29" spans="1:19">
      <c r="K29" t="s">
        <v>382</v>
      </c>
    </row>
    <row r="30" spans="1:19">
      <c r="A30" t="s">
        <v>383</v>
      </c>
      <c r="B30" t="s">
        <v>384</v>
      </c>
      <c r="C30">
        <v>0.71399999999999997</v>
      </c>
      <c r="D30">
        <v>0.32386495245159008</v>
      </c>
      <c r="E30" t="s">
        <v>385</v>
      </c>
    </row>
    <row r="31" spans="1:19">
      <c r="A31" t="s">
        <v>386</v>
      </c>
      <c r="D31">
        <v>2.5999999999999999E-2</v>
      </c>
      <c r="E31" t="s">
        <v>387</v>
      </c>
      <c r="K31" t="s">
        <v>388</v>
      </c>
    </row>
    <row r="32" spans="1:19">
      <c r="K32" t="s">
        <v>348</v>
      </c>
      <c r="L32" t="s">
        <v>349</v>
      </c>
      <c r="M32" t="s">
        <v>350</v>
      </c>
    </row>
    <row r="33" spans="1:14">
      <c r="A33" t="s">
        <v>389</v>
      </c>
      <c r="B33" t="s">
        <v>390</v>
      </c>
      <c r="K33">
        <v>2023</v>
      </c>
      <c r="L33">
        <v>41363</v>
      </c>
      <c r="M33">
        <v>299.6902</v>
      </c>
      <c r="N33" t="s">
        <v>391</v>
      </c>
    </row>
    <row r="34" spans="1:14">
      <c r="A34" t="s">
        <v>392</v>
      </c>
      <c r="B34">
        <v>0.09</v>
      </c>
      <c r="E34" t="s">
        <v>393</v>
      </c>
      <c r="K34">
        <v>2022</v>
      </c>
      <c r="L34">
        <v>52509</v>
      </c>
      <c r="M34">
        <v>320.67700000000002</v>
      </c>
    </row>
    <row r="35" spans="1:14">
      <c r="A35" t="s">
        <v>394</v>
      </c>
      <c r="B35">
        <v>0.2</v>
      </c>
      <c r="E35" t="s">
        <v>395</v>
      </c>
      <c r="K35">
        <v>2021</v>
      </c>
      <c r="L35">
        <v>49190</v>
      </c>
      <c r="M35">
        <v>332.34710000000001</v>
      </c>
    </row>
    <row r="36" spans="1:14">
      <c r="A36" t="s">
        <v>396</v>
      </c>
      <c r="B36">
        <v>56.91</v>
      </c>
      <c r="E36" t="s">
        <v>397</v>
      </c>
      <c r="K36">
        <v>2020</v>
      </c>
      <c r="L36">
        <v>44258</v>
      </c>
      <c r="M36">
        <v>304.04039999999998</v>
      </c>
    </row>
    <row r="37" spans="1:14">
      <c r="A37" t="s">
        <v>398</v>
      </c>
      <c r="B37">
        <v>14</v>
      </c>
      <c r="E37" t="s">
        <v>399</v>
      </c>
      <c r="K37">
        <v>2019</v>
      </c>
      <c r="L37">
        <v>44149</v>
      </c>
      <c r="M37">
        <v>270.97289999999998</v>
      </c>
    </row>
    <row r="38" spans="1:14">
      <c r="A38" t="s">
        <v>400</v>
      </c>
      <c r="B38" t="s">
        <v>401</v>
      </c>
      <c r="K38">
        <v>2018</v>
      </c>
      <c r="L38">
        <v>41638</v>
      </c>
      <c r="M38">
        <v>279.64814976703974</v>
      </c>
    </row>
    <row r="39" spans="1:14">
      <c r="A39" t="s">
        <v>402</v>
      </c>
      <c r="B39">
        <v>3.4</v>
      </c>
      <c r="E39" t="s">
        <v>403</v>
      </c>
      <c r="F39" t="s">
        <v>404</v>
      </c>
      <c r="M39">
        <v>301.53710995340799</v>
      </c>
    </row>
    <row r="40" spans="1:14">
      <c r="A40" t="s">
        <v>405</v>
      </c>
      <c r="B40">
        <v>14.9</v>
      </c>
      <c r="E40" t="s">
        <v>406</v>
      </c>
      <c r="F40" t="s">
        <v>407</v>
      </c>
      <c r="K40">
        <v>2017</v>
      </c>
      <c r="L40">
        <v>43194</v>
      </c>
      <c r="M40">
        <v>278.66814858545172</v>
      </c>
    </row>
    <row r="41" spans="1:14">
      <c r="A41" t="s">
        <v>408</v>
      </c>
      <c r="B41">
        <v>6.02</v>
      </c>
      <c r="E41" t="s">
        <v>409</v>
      </c>
      <c r="K41">
        <v>2016</v>
      </c>
      <c r="L41">
        <v>46183</v>
      </c>
      <c r="M41">
        <v>252.9531771431046</v>
      </c>
    </row>
    <row r="42" spans="1:14">
      <c r="A42" t="s">
        <v>410</v>
      </c>
      <c r="B42">
        <v>4</v>
      </c>
      <c r="E42" t="s">
        <v>411</v>
      </c>
      <c r="K42">
        <v>2015</v>
      </c>
      <c r="L42">
        <v>41576</v>
      </c>
      <c r="M42">
        <v>260.42778093130647</v>
      </c>
    </row>
    <row r="43" spans="1:14">
      <c r="K43">
        <v>2014</v>
      </c>
      <c r="L43">
        <v>47459</v>
      </c>
      <c r="M43">
        <v>216.56283465728313</v>
      </c>
    </row>
    <row r="44" spans="1:14">
      <c r="K44">
        <v>2013</v>
      </c>
      <c r="L44">
        <v>50991</v>
      </c>
      <c r="M44">
        <v>172.11779176717459</v>
      </c>
    </row>
    <row r="45" spans="1:14">
      <c r="A45" t="s">
        <v>412</v>
      </c>
      <c r="B45">
        <v>2.65</v>
      </c>
      <c r="E45" t="s">
        <v>413</v>
      </c>
      <c r="M45">
        <v>251.70214182925255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56"/>
  <sheetViews>
    <sheetView zoomScaleNormal="100" workbookViewId="0">
      <selection activeCell="A57" sqref="A57"/>
    </sheetView>
  </sheetViews>
  <sheetFormatPr defaultColWidth="9" defaultRowHeight="15"/>
  <cols>
    <col min="1" max="1" width="52.5703125" style="106" customWidth="1"/>
    <col min="2" max="2" width="19.42578125" style="106" bestFit="1" customWidth="1"/>
    <col min="3" max="3" width="15.28515625" style="106" bestFit="1" customWidth="1"/>
    <col min="4" max="4" width="19.5703125" style="106" bestFit="1" customWidth="1"/>
    <col min="5" max="5" width="20.5703125" style="106" bestFit="1" customWidth="1"/>
    <col min="6" max="6" width="14.42578125" style="106" customWidth="1"/>
    <col min="7" max="7" width="9" style="106" customWidth="1"/>
    <col min="8" max="8" width="10.28515625" style="106" hidden="1" customWidth="1"/>
    <col min="9" max="9" width="9" style="106" hidden="1" customWidth="1"/>
    <col min="10" max="10" width="10.85546875" style="106" hidden="1" customWidth="1"/>
    <col min="11" max="11" width="11.42578125" style="106" hidden="1" customWidth="1"/>
    <col min="12" max="29" width="9" style="106" hidden="1" customWidth="1"/>
    <col min="30" max="30" width="14" style="106" hidden="1" customWidth="1"/>
    <col min="31" max="31" width="9.7109375" style="106" hidden="1" customWidth="1"/>
    <col min="32" max="32" width="10.28515625" style="106" hidden="1" customWidth="1"/>
    <col min="33" max="34" width="9" style="106" hidden="1" customWidth="1"/>
    <col min="35" max="16384" width="9" style="106"/>
  </cols>
  <sheetData>
    <row r="1" spans="1:30" ht="30.95">
      <c r="A1" s="157" t="s">
        <v>414</v>
      </c>
      <c r="B1" s="165"/>
      <c r="C1" s="165"/>
      <c r="D1" s="165"/>
      <c r="E1" s="165" t="s">
        <v>415</v>
      </c>
      <c r="F1" s="198" t="s">
        <v>416</v>
      </c>
      <c r="I1" s="106" t="s">
        <v>417</v>
      </c>
      <c r="J1" s="227">
        <v>0.04</v>
      </c>
    </row>
    <row r="2" spans="1:30">
      <c r="A2" s="158"/>
      <c r="B2" s="166"/>
      <c r="C2" s="166"/>
      <c r="D2" s="166"/>
      <c r="E2" s="166"/>
      <c r="F2" s="159"/>
      <c r="I2" s="106" t="s">
        <v>418</v>
      </c>
      <c r="J2" s="227">
        <v>0.04</v>
      </c>
      <c r="K2" s="106" t="s">
        <v>419</v>
      </c>
    </row>
    <row r="3" spans="1:30" ht="15.4">
      <c r="A3" s="160" t="s">
        <v>420</v>
      </c>
      <c r="B3" s="172" t="s">
        <v>421</v>
      </c>
      <c r="C3" s="172" t="s">
        <v>422</v>
      </c>
      <c r="D3" s="172" t="s">
        <v>423</v>
      </c>
      <c r="E3" s="166"/>
      <c r="F3" s="159"/>
      <c r="J3" s="106">
        <v>5</v>
      </c>
      <c r="K3" s="106" t="s">
        <v>424</v>
      </c>
    </row>
    <row r="4" spans="1:30" ht="18">
      <c r="A4" s="187" t="s">
        <v>425</v>
      </c>
      <c r="B4" s="197">
        <f>SHEEPF!E5*0.667</f>
        <v>266.8</v>
      </c>
      <c r="C4" s="197">
        <f>B4*16</f>
        <v>4268.8</v>
      </c>
      <c r="D4" s="196">
        <v>30</v>
      </c>
      <c r="E4" s="176">
        <f>C4*D4</f>
        <v>128064</v>
      </c>
      <c r="F4" s="199">
        <v>1</v>
      </c>
      <c r="H4" s="200">
        <f>E4*F4</f>
        <v>128064</v>
      </c>
      <c r="J4" s="200">
        <f>E4*(1+$J$1)^$J$3</f>
        <v>155809.43729295363</v>
      </c>
      <c r="K4" s="200">
        <v>103872.95819530243</v>
      </c>
      <c r="L4" s="111">
        <f>K4/C4</f>
        <v>24.333058048000005</v>
      </c>
      <c r="AD4" s="111">
        <f>(SUM(H4:H8)-SUM(H4:H8)*D44)/2</f>
        <v>129734.89200000001</v>
      </c>
    </row>
    <row r="5" spans="1:30" ht="15.4">
      <c r="A5" s="187" t="s">
        <v>426</v>
      </c>
      <c r="B5" s="197">
        <f>SHEEPF!F27*0.5</f>
        <v>483.78</v>
      </c>
      <c r="C5" s="197">
        <f>B5*8</f>
        <v>3870.24</v>
      </c>
      <c r="D5" s="196">
        <v>24</v>
      </c>
      <c r="E5" s="176">
        <f>D5*C5</f>
        <v>92885.759999999995</v>
      </c>
      <c r="F5" s="199">
        <v>1</v>
      </c>
      <c r="H5" s="200">
        <f t="shared" ref="H5:H8" si="0">E5*F5</f>
        <v>92885.759999999995</v>
      </c>
      <c r="J5" s="200">
        <f t="shared" ref="J5:J8" si="1">E5*(1+$J$1)^$J$3</f>
        <v>113009.72949562984</v>
      </c>
      <c r="K5" s="200">
        <v>112759.39099443203</v>
      </c>
      <c r="L5" s="111">
        <f t="shared" ref="L5:L6" si="2">K5/C5</f>
        <v>29.134986717731209</v>
      </c>
    </row>
    <row r="6" spans="1:30" ht="18">
      <c r="A6" s="187" t="s">
        <v>427</v>
      </c>
      <c r="B6" s="194"/>
      <c r="C6" s="29">
        <f>100*30</f>
        <v>3000</v>
      </c>
      <c r="D6" s="196">
        <v>18</v>
      </c>
      <c r="E6" s="176">
        <f>D6*C6</f>
        <v>54000</v>
      </c>
      <c r="F6" s="199">
        <v>1</v>
      </c>
      <c r="H6" s="200">
        <f t="shared" si="0"/>
        <v>54000</v>
      </c>
      <c r="J6" s="200">
        <f t="shared" si="1"/>
        <v>65699.25672960002</v>
      </c>
      <c r="K6" s="200">
        <v>54749.380608000014</v>
      </c>
      <c r="L6" s="111">
        <f t="shared" si="2"/>
        <v>18.249793536000006</v>
      </c>
    </row>
    <row r="7" spans="1:30" ht="15.4">
      <c r="A7" s="187" t="s">
        <v>428</v>
      </c>
      <c r="B7" s="194"/>
      <c r="C7" s="194"/>
      <c r="D7" s="168"/>
      <c r="E7" s="176">
        <v>9700</v>
      </c>
      <c r="F7" s="199">
        <v>1</v>
      </c>
      <c r="H7" s="200">
        <f t="shared" si="0"/>
        <v>9700</v>
      </c>
      <c r="J7" s="200">
        <f t="shared" si="1"/>
        <v>11801.533153280003</v>
      </c>
      <c r="K7" s="106">
        <v>9733.2232192000029</v>
      </c>
    </row>
    <row r="8" spans="1:30" ht="15.4">
      <c r="A8" s="187" t="s">
        <v>429</v>
      </c>
      <c r="B8" s="194"/>
      <c r="C8" s="194"/>
      <c r="D8" s="168"/>
      <c r="E8" s="176">
        <v>3650</v>
      </c>
      <c r="F8" s="199">
        <v>1</v>
      </c>
      <c r="H8" s="200">
        <f t="shared" si="0"/>
        <v>3650</v>
      </c>
      <c r="J8" s="200">
        <f t="shared" si="1"/>
        <v>4440.7830937600011</v>
      </c>
      <c r="K8" s="106">
        <v>3649.9587072000008</v>
      </c>
    </row>
    <row r="9" spans="1:30" ht="15.4">
      <c r="A9" s="160" t="s">
        <v>430</v>
      </c>
      <c r="B9" s="167"/>
      <c r="C9" s="167"/>
      <c r="D9" s="167"/>
      <c r="E9" s="177"/>
      <c r="F9" s="159"/>
    </row>
    <row r="10" spans="1:30" ht="15.4">
      <c r="A10" s="187" t="s">
        <v>431</v>
      </c>
      <c r="B10" s="194"/>
      <c r="C10" s="194"/>
      <c r="D10" s="168"/>
      <c r="E10" s="176">
        <v>85000</v>
      </c>
      <c r="F10" s="199">
        <v>0.5</v>
      </c>
      <c r="H10" s="200">
        <f t="shared" ref="H10:H13" si="3">E10*F10</f>
        <v>42500</v>
      </c>
      <c r="J10" s="200">
        <f>E10*(1+$J$2)^$J$3</f>
        <v>103415.49670400003</v>
      </c>
      <c r="K10" s="106">
        <v>85165.703168000022</v>
      </c>
      <c r="AD10" s="111">
        <f>(SUM(H10:H13)-SUM(H10:H14)*D45)/2</f>
        <v>41323.5</v>
      </c>
    </row>
    <row r="11" spans="1:30" ht="15.4">
      <c r="A11" s="187" t="s">
        <v>432</v>
      </c>
      <c r="B11" s="194"/>
      <c r="C11" s="194"/>
      <c r="D11" s="168"/>
      <c r="E11" s="176">
        <v>50000</v>
      </c>
      <c r="F11" s="199">
        <v>0.5</v>
      </c>
      <c r="H11" s="200">
        <f t="shared" si="3"/>
        <v>25000</v>
      </c>
      <c r="J11" s="200">
        <f t="shared" ref="J11:J13" si="4">E11*(1+$J$2)^$J$3</f>
        <v>60832.645120000016</v>
      </c>
      <c r="K11" s="106">
        <v>60832.645120000016</v>
      </c>
    </row>
    <row r="12" spans="1:30" ht="15.4">
      <c r="A12" s="187" t="s">
        <v>433</v>
      </c>
      <c r="B12" s="194"/>
      <c r="C12" s="194"/>
      <c r="D12" s="168"/>
      <c r="E12" s="176">
        <v>6080</v>
      </c>
      <c r="F12" s="199">
        <v>1</v>
      </c>
      <c r="H12" s="200">
        <f t="shared" si="3"/>
        <v>6080</v>
      </c>
      <c r="J12" s="200">
        <f t="shared" si="4"/>
        <v>7397.2496465920021</v>
      </c>
      <c r="K12" s="106">
        <v>6083.2645120000016</v>
      </c>
    </row>
    <row r="13" spans="1:30" ht="15.4">
      <c r="A13" s="187" t="s">
        <v>434</v>
      </c>
      <c r="B13" s="194"/>
      <c r="C13" s="194"/>
      <c r="D13" s="168"/>
      <c r="E13" s="176">
        <v>18250</v>
      </c>
      <c r="F13" s="199">
        <v>1</v>
      </c>
      <c r="H13" s="200">
        <f t="shared" si="3"/>
        <v>18250</v>
      </c>
      <c r="J13" s="200">
        <f t="shared" si="4"/>
        <v>22203.915468800005</v>
      </c>
      <c r="K13" s="106">
        <v>18249.793536000005</v>
      </c>
    </row>
    <row r="14" spans="1:30" ht="15.4">
      <c r="A14" s="160" t="s">
        <v>435</v>
      </c>
      <c r="B14" s="167"/>
      <c r="C14" s="167"/>
      <c r="D14" s="167"/>
      <c r="E14" s="177"/>
      <c r="F14" s="159"/>
    </row>
    <row r="15" spans="1:30" ht="15.4">
      <c r="A15" s="161" t="s">
        <v>436</v>
      </c>
      <c r="B15" s="168"/>
      <c r="C15" s="168"/>
      <c r="D15" s="168"/>
      <c r="E15" s="177">
        <v>366</v>
      </c>
      <c r="F15" s="159"/>
    </row>
    <row r="16" spans="1:30" ht="15.4">
      <c r="A16" s="161" t="s">
        <v>437</v>
      </c>
      <c r="B16" s="168"/>
      <c r="C16" s="168"/>
      <c r="D16" s="168"/>
      <c r="E16" s="176">
        <v>15000</v>
      </c>
      <c r="F16" s="159"/>
    </row>
    <row r="17" spans="1:33" ht="15.4">
      <c r="A17" s="161"/>
      <c r="B17" s="168"/>
      <c r="C17" s="168"/>
      <c r="D17" s="168"/>
      <c r="E17" s="177"/>
      <c r="F17" s="159"/>
    </row>
    <row r="18" spans="1:33" ht="15.4">
      <c r="A18" s="187" t="s">
        <v>438</v>
      </c>
      <c r="B18" s="194"/>
      <c r="C18" s="194"/>
      <c r="D18" s="168"/>
      <c r="E18" s="176">
        <f>8745*3.2</f>
        <v>27984</v>
      </c>
      <c r="F18" s="199">
        <v>1</v>
      </c>
      <c r="H18" s="200">
        <f t="shared" ref="H18:H19" si="5">E18*F18</f>
        <v>27984</v>
      </c>
      <c r="J18" s="200">
        <f t="shared" ref="J18:J19" si="6">E18*(1+$J$2)^$J$3</f>
        <v>34046.81482076161</v>
      </c>
      <c r="K18" s="111">
        <v>28195.931013120007</v>
      </c>
      <c r="L18" s="111">
        <f>K18/8745</f>
        <v>3.2242345355197264</v>
      </c>
      <c r="AD18" s="112">
        <f>H18-(H18*D46)/2</f>
        <v>27984</v>
      </c>
    </row>
    <row r="19" spans="1:33" ht="15.4">
      <c r="A19" s="187" t="s">
        <v>439</v>
      </c>
      <c r="B19" s="194"/>
      <c r="C19" s="194"/>
      <c r="D19" s="168"/>
      <c r="E19" s="176">
        <v>1650</v>
      </c>
      <c r="F19" s="199">
        <v>1</v>
      </c>
      <c r="H19" s="200">
        <f t="shared" si="5"/>
        <v>1650</v>
      </c>
      <c r="J19" s="200">
        <f t="shared" si="6"/>
        <v>2007.4772889600006</v>
      </c>
      <c r="K19" s="106">
        <v>1642.4814182400005</v>
      </c>
      <c r="AD19" s="112">
        <f>H19-H19*D47/2</f>
        <v>1650</v>
      </c>
    </row>
    <row r="20" spans="1:33" ht="15.4">
      <c r="A20" s="187"/>
      <c r="B20" s="194"/>
      <c r="C20" s="194"/>
      <c r="D20" s="168"/>
      <c r="E20" s="176"/>
      <c r="F20" s="159"/>
      <c r="AD20" s="112"/>
    </row>
    <row r="21" spans="1:33" ht="15.4">
      <c r="A21" s="161"/>
      <c r="B21" s="168"/>
      <c r="C21" s="168"/>
      <c r="D21" s="168"/>
      <c r="E21" s="193" t="s">
        <v>440</v>
      </c>
      <c r="F21" s="163" t="s">
        <v>441</v>
      </c>
      <c r="AD21" s="106" t="s">
        <v>442</v>
      </c>
    </row>
    <row r="22" spans="1:33" s="107" customFormat="1" ht="15.4">
      <c r="A22" s="160" t="s">
        <v>443</v>
      </c>
      <c r="B22" s="167"/>
      <c r="C22" s="167"/>
      <c r="D22" s="167"/>
      <c r="E22" s="178">
        <f>SUM(H4:H19)</f>
        <v>409763.76</v>
      </c>
      <c r="F22" s="186">
        <f>E22/SHEEPF!E5</f>
        <v>1024.4094</v>
      </c>
      <c r="AD22" s="113">
        <f>SUM(AD4:AD19)</f>
        <v>200692.39199999999</v>
      </c>
    </row>
    <row r="23" spans="1:33">
      <c r="A23" s="158"/>
      <c r="B23" s="166"/>
      <c r="C23" s="166"/>
      <c r="D23" s="166"/>
      <c r="E23" s="228"/>
      <c r="F23" s="159"/>
    </row>
    <row r="24" spans="1:33">
      <c r="A24" s="158" t="s">
        <v>444</v>
      </c>
      <c r="B24" s="166"/>
      <c r="C24" s="166"/>
      <c r="D24" s="166"/>
      <c r="E24" s="166"/>
      <c r="F24" s="159"/>
    </row>
    <row r="25" spans="1:33">
      <c r="A25" s="158" t="s">
        <v>445</v>
      </c>
      <c r="B25" s="166"/>
      <c r="C25" s="166"/>
      <c r="D25" s="166"/>
      <c r="E25" s="166"/>
      <c r="F25" s="159"/>
    </row>
    <row r="26" spans="1:33">
      <c r="A26" s="158"/>
      <c r="B26" s="166"/>
      <c r="C26" s="166"/>
      <c r="D26" s="166"/>
      <c r="E26" s="166"/>
      <c r="F26" s="159"/>
    </row>
    <row r="27" spans="1:33">
      <c r="A27" s="158"/>
      <c r="B27" s="166"/>
      <c r="C27" s="166"/>
      <c r="D27" s="166"/>
      <c r="E27" s="166"/>
      <c r="F27" s="185"/>
    </row>
    <row r="28" spans="1:33" ht="15.4">
      <c r="A28" s="162" t="s">
        <v>446</v>
      </c>
      <c r="B28" s="155"/>
      <c r="C28" s="155"/>
      <c r="D28" s="155"/>
      <c r="E28" s="156"/>
      <c r="F28" s="159"/>
    </row>
    <row r="29" spans="1:33">
      <c r="A29" s="158"/>
      <c r="B29" s="166"/>
      <c r="C29" s="166"/>
      <c r="D29" s="166"/>
      <c r="E29" s="166"/>
      <c r="F29" s="159"/>
    </row>
    <row r="30" spans="1:33" ht="17.25" customHeight="1">
      <c r="A30" s="160" t="s">
        <v>447</v>
      </c>
      <c r="B30" s="167"/>
      <c r="C30" s="167"/>
      <c r="D30" s="169" t="s">
        <v>448</v>
      </c>
      <c r="E30" s="172" t="s">
        <v>449</v>
      </c>
      <c r="F30" s="163" t="s">
        <v>441</v>
      </c>
    </row>
    <row r="31" spans="1:33" ht="15.4">
      <c r="A31" s="158" t="s">
        <v>420</v>
      </c>
      <c r="B31" s="166"/>
      <c r="C31" s="166"/>
      <c r="D31" s="170">
        <v>0.02</v>
      </c>
      <c r="E31" s="180">
        <f>D31*(H4+H5+H6+H7+H8)</f>
        <v>5765.9952000000003</v>
      </c>
      <c r="F31" s="181">
        <f>E31/SHEEPF!$E$5</f>
        <v>14.414988000000001</v>
      </c>
      <c r="AF31" s="115">
        <f>SUM(F31,F33)</f>
        <v>15.814188000000001</v>
      </c>
      <c r="AG31" s="106" t="s">
        <v>450</v>
      </c>
    </row>
    <row r="32" spans="1:33" ht="15.4">
      <c r="A32" s="158" t="s">
        <v>430</v>
      </c>
      <c r="B32" s="166"/>
      <c r="C32" s="166"/>
      <c r="D32" s="170">
        <v>0.02</v>
      </c>
      <c r="E32" s="180">
        <f>D32*SUM(H10:H13)</f>
        <v>1836.6000000000001</v>
      </c>
      <c r="F32" s="181">
        <f>E32/SHEEPF!$E$5</f>
        <v>4.5914999999999999</v>
      </c>
      <c r="AF32" s="115">
        <f>F32+F34</f>
        <v>4.6739999999999995</v>
      </c>
      <c r="AG32" s="106" t="s">
        <v>451</v>
      </c>
    </row>
    <row r="33" spans="1:33" ht="15.4">
      <c r="A33" s="158" t="s">
        <v>452</v>
      </c>
      <c r="B33" s="166"/>
      <c r="C33" s="166"/>
      <c r="D33" s="170">
        <v>0.02</v>
      </c>
      <c r="E33" s="180">
        <f>D33*E18</f>
        <v>559.68000000000006</v>
      </c>
      <c r="F33" s="181">
        <f>E33/SHEEPF!$E$5</f>
        <v>1.3992000000000002</v>
      </c>
    </row>
    <row r="34" spans="1:33" ht="15.4">
      <c r="A34" s="158" t="s">
        <v>453</v>
      </c>
      <c r="B34" s="166"/>
      <c r="C34" s="166"/>
      <c r="D34" s="170">
        <v>0.02</v>
      </c>
      <c r="E34" s="180">
        <f>D34*H19</f>
        <v>33</v>
      </c>
      <c r="F34" s="181">
        <f>E34/SHEEPF!$E$5</f>
        <v>8.2500000000000004E-2</v>
      </c>
    </row>
    <row r="35" spans="1:33" ht="15.4">
      <c r="A35" s="158"/>
      <c r="B35" s="166"/>
      <c r="C35" s="166"/>
      <c r="D35" s="171"/>
      <c r="E35" s="167"/>
      <c r="F35" s="179"/>
    </row>
    <row r="36" spans="1:33" ht="15.4">
      <c r="A36" s="160" t="s">
        <v>454</v>
      </c>
      <c r="B36" s="167"/>
      <c r="C36" s="167"/>
      <c r="D36" s="171"/>
      <c r="E36" s="167"/>
      <c r="F36" s="179"/>
    </row>
    <row r="37" spans="1:33" ht="15.4">
      <c r="A37" s="160" t="s">
        <v>455</v>
      </c>
      <c r="B37" s="167"/>
      <c r="C37" s="167"/>
      <c r="D37" s="172" t="s">
        <v>456</v>
      </c>
      <c r="E37" s="167"/>
      <c r="F37" s="179"/>
    </row>
    <row r="38" spans="1:33" ht="15.4">
      <c r="A38" s="158" t="s">
        <v>420</v>
      </c>
      <c r="B38" s="166"/>
      <c r="C38" s="166"/>
      <c r="D38" s="173">
        <v>20</v>
      </c>
      <c r="E38" s="180">
        <f>(SUM(H4:H8)-(D44*SUM(H4:H8)))/D38</f>
        <v>12973.4892</v>
      </c>
      <c r="F38" s="181">
        <f>E38/SHEEPF!$E$5</f>
        <v>32.433723000000001</v>
      </c>
      <c r="AF38" s="115">
        <f>SUM(F38,F40)</f>
        <v>35.232123000000001</v>
      </c>
      <c r="AG38" s="106" t="s">
        <v>450</v>
      </c>
    </row>
    <row r="39" spans="1:33" ht="15.4">
      <c r="A39" s="158" t="s">
        <v>430</v>
      </c>
      <c r="B39" s="166"/>
      <c r="C39" s="166"/>
      <c r="D39" s="173">
        <v>15</v>
      </c>
      <c r="E39" s="180">
        <f>(SUM(H10:H13)-(SUM(H10:H13)*D45))/D39</f>
        <v>5509.8</v>
      </c>
      <c r="F39" s="181">
        <f>E39/SHEEPF!$E$5</f>
        <v>13.7745</v>
      </c>
      <c r="AF39" s="115">
        <f>F39+F41</f>
        <v>13.98075</v>
      </c>
      <c r="AG39" s="106" t="s">
        <v>451</v>
      </c>
    </row>
    <row r="40" spans="1:33" ht="15.4">
      <c r="A40" s="158" t="s">
        <v>452</v>
      </c>
      <c r="B40" s="166"/>
      <c r="C40" s="166"/>
      <c r="D40" s="173">
        <v>25</v>
      </c>
      <c r="E40" s="180">
        <f>(H18-H18*D46)/D40</f>
        <v>1119.3599999999999</v>
      </c>
      <c r="F40" s="181">
        <f>E40/SHEEPF!$E$5</f>
        <v>2.7983999999999996</v>
      </c>
    </row>
    <row r="41" spans="1:33" ht="15.4">
      <c r="A41" s="158" t="s">
        <v>453</v>
      </c>
      <c r="B41" s="166"/>
      <c r="C41" s="166"/>
      <c r="D41" s="173">
        <v>20</v>
      </c>
      <c r="E41" s="180">
        <f>(H19-H19*D47)/D41</f>
        <v>82.5</v>
      </c>
      <c r="F41" s="181">
        <f>E41/SHEEPF!$E$5</f>
        <v>0.20624999999999999</v>
      </c>
    </row>
    <row r="42" spans="1:33" ht="15.4">
      <c r="A42" s="158"/>
      <c r="B42" s="166"/>
      <c r="C42" s="166"/>
      <c r="D42" s="171"/>
      <c r="E42" s="180">
        <f>SUM(E38:E41)</f>
        <v>19685.1492</v>
      </c>
      <c r="F42" s="181">
        <f>E42/SHEEPF!$E$5</f>
        <v>49.212873000000002</v>
      </c>
    </row>
    <row r="43" spans="1:33" ht="15.4">
      <c r="A43" s="160" t="s">
        <v>457</v>
      </c>
      <c r="B43" s="167"/>
      <c r="C43" s="167"/>
      <c r="D43" s="172" t="s">
        <v>458</v>
      </c>
      <c r="E43" s="167"/>
      <c r="F43" s="179"/>
    </row>
    <row r="44" spans="1:33" ht="15.4">
      <c r="A44" s="158" t="s">
        <v>420</v>
      </c>
      <c r="B44" s="166"/>
      <c r="C44" s="166"/>
      <c r="D44" s="170">
        <v>0.1</v>
      </c>
      <c r="E44" s="167"/>
      <c r="F44" s="179"/>
    </row>
    <row r="45" spans="1:33" ht="15.4">
      <c r="A45" s="158" t="s">
        <v>430</v>
      </c>
      <c r="B45" s="166"/>
      <c r="C45" s="166"/>
      <c r="D45" s="170">
        <v>0.1</v>
      </c>
      <c r="E45" s="167"/>
      <c r="F45" s="179"/>
    </row>
    <row r="46" spans="1:33" ht="15.4">
      <c r="A46" s="158" t="s">
        <v>452</v>
      </c>
      <c r="B46" s="166"/>
      <c r="C46" s="166"/>
      <c r="D46" s="170">
        <v>0</v>
      </c>
      <c r="E46" s="167"/>
      <c r="F46" s="179"/>
    </row>
    <row r="47" spans="1:33" ht="15.4">
      <c r="A47" s="158" t="s">
        <v>453</v>
      </c>
      <c r="B47" s="166"/>
      <c r="C47" s="166"/>
      <c r="D47" s="170">
        <v>0</v>
      </c>
      <c r="E47" s="167"/>
      <c r="F47" s="179"/>
    </row>
    <row r="48" spans="1:33" ht="15.4">
      <c r="A48" s="158"/>
      <c r="B48" s="166"/>
      <c r="C48" s="166"/>
      <c r="D48" s="171"/>
      <c r="E48" s="167"/>
      <c r="F48" s="179"/>
    </row>
    <row r="49" spans="1:6" ht="15.4">
      <c r="A49" s="158"/>
      <c r="B49" s="166"/>
      <c r="C49" s="166"/>
      <c r="D49" s="172" t="s">
        <v>18</v>
      </c>
      <c r="E49" s="167"/>
      <c r="F49" s="179"/>
    </row>
    <row r="50" spans="1:6" ht="15.4">
      <c r="A50" s="160" t="s">
        <v>459</v>
      </c>
      <c r="B50" s="167"/>
      <c r="C50" s="167"/>
      <c r="D50" s="170">
        <v>0.06</v>
      </c>
      <c r="E50" s="182">
        <f>AD22*D50</f>
        <v>12041.543519999999</v>
      </c>
      <c r="F50" s="181">
        <f>E50/SHEEPF!$E$5</f>
        <v>30.103858799999998</v>
      </c>
    </row>
    <row r="51" spans="1:6" ht="15.4">
      <c r="A51" s="158"/>
      <c r="B51" s="166"/>
      <c r="C51" s="166"/>
      <c r="D51" s="171"/>
      <c r="E51" s="167"/>
      <c r="F51" s="179"/>
    </row>
    <row r="52" spans="1:6" ht="15.4">
      <c r="A52" s="160" t="s">
        <v>460</v>
      </c>
      <c r="B52" s="167"/>
      <c r="C52" s="167"/>
      <c r="D52" s="172" t="s">
        <v>461</v>
      </c>
      <c r="E52" s="167"/>
      <c r="F52" s="179"/>
    </row>
    <row r="53" spans="1:6" ht="15.4">
      <c r="A53" s="158" t="s">
        <v>420</v>
      </c>
      <c r="B53" s="166"/>
      <c r="C53" s="166"/>
      <c r="D53" s="174">
        <v>4.0000000000000001E-3</v>
      </c>
      <c r="E53" s="182">
        <f>SUM(H4:H8)*D53</f>
        <v>1153.19904</v>
      </c>
      <c r="F53" s="181">
        <f>E53/SHEEPF!$E$5</f>
        <v>2.8829975999999999</v>
      </c>
    </row>
    <row r="54" spans="1:6" ht="15.4">
      <c r="A54" s="164" t="s">
        <v>430</v>
      </c>
      <c r="B54" s="195"/>
      <c r="C54" s="195"/>
      <c r="D54" s="175">
        <v>4.0000000000000001E-3</v>
      </c>
      <c r="E54" s="183">
        <f>SUM(H10:H13)*D54</f>
        <v>367.32</v>
      </c>
      <c r="F54" s="184">
        <f>E54/SHEEPF!$E$5</f>
        <v>0.91830000000000001</v>
      </c>
    </row>
    <row r="56" spans="1:6">
      <c r="A56" s="106" t="s">
        <v>296</v>
      </c>
    </row>
  </sheetData>
  <sheetProtection algorithmName="SHA-512" hashValue="D9pbQn5Q1eWc/TVjwQICzKN0k++yGZfzvmyXjQHVj2S5Oqg691K+n8LPODCkOU9XxkWK7NAO532Qtt+HRC+Gqg==" saltValue="C3WRoKdgnzPq8nznjz+3tg==" spinCount="100000" sheet="1" objects="1" scenarios="1"/>
  <pageMargins left="0.70866141732283472" right="0.70866141732283472" top="0.74803149606299213" bottom="0.74803149606299213" header="0.31496062992125984" footer="0.31496062992125984"/>
  <pageSetup scale="5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1EBF80-DCCA-464F-82C3-D9E684D71195}"/>
</file>

<file path=customXml/itemProps2.xml><?xml version="1.0" encoding="utf-8"?>
<ds:datastoreItem xmlns:ds="http://schemas.openxmlformats.org/officeDocument/2006/customXml" ds:itemID="{31CA0608-DDA0-4BD8-A0EE-C6DB05EF6AF4}"/>
</file>

<file path=customXml/itemProps3.xml><?xml version="1.0" encoding="utf-8"?>
<ds:datastoreItem xmlns:ds="http://schemas.openxmlformats.org/officeDocument/2006/customXml" ds:itemID="{1F732A0B-C98A-4B5A-AE54-C12E939D6894}"/>
</file>

<file path=customXml/itemProps4.xml><?xml version="1.0" encoding="utf-8"?>
<ds:datastoreItem xmlns:ds="http://schemas.openxmlformats.org/officeDocument/2006/customXml" ds:itemID="{1EB615E0-7A17-4752-BC08-FEA1640DD2C8}"/>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Molenhuis, John (OMAFRA)</dc:creator>
  <cp:keywords/>
  <dc:description/>
  <cp:lastModifiedBy>Walker, Alex (He/Him) (OMAFRA)</cp:lastModifiedBy>
  <cp:revision/>
  <dcterms:created xsi:type="dcterms:W3CDTF">2012-09-12T17:46:20Z</dcterms:created>
  <dcterms:modified xsi:type="dcterms:W3CDTF">2024-07-02T18:32:27Z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2019-03-20T14:18:14.7984327Z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y fmtid="{D5CDD505-2E9C-101B-9397-08002B2CF9AE}" pid="10" name="ContentTypeId">
    <vt:lpwstr>0x01010043842F08D5C4194AB3AA6AD98986A4CA</vt:lpwstr>
  </property>
  <property fmtid="{D5CDD505-2E9C-101B-9397-08002B2CF9AE}" pid="11" name="MediaServiceImageTags">
    <vt:lpwstr/>
  </property>
</Properties>
</file>