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dairy/2023/"/>
    </mc:Choice>
  </mc:AlternateContent>
  <xr:revisionPtr revIDLastSave="382" documentId="13_ncr:1_{4683A4C9-441B-4B84-9474-16DEEDAD743F}" xr6:coauthVersionLast="47" xr6:coauthVersionMax="47" xr10:uidLastSave="{2D5D5C4B-5036-45DB-86E9-B186A1B245AD}"/>
  <bookViews>
    <workbookView xWindow="-103" yWindow="-103" windowWidth="22149" windowHeight="11949" tabRatio="601" xr2:uid="{00000000-000D-0000-FFFF-FFFF00000000}"/>
  </bookViews>
  <sheets>
    <sheet name="Dairy" sheetId="1" r:id="rId1"/>
  </sheets>
  <definedNames>
    <definedName name="_Key1" hidden="1">#REF!</definedName>
    <definedName name="_Order1" hidden="1">255</definedName>
    <definedName name="_Parse_In" hidden="1">#REF!</definedName>
    <definedName name="_Parse_Out" hidden="1">#REF!</definedName>
    <definedName name="_Regression_Int" hidden="1">1</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8" i="1" l="1"/>
  <c r="G66" i="1"/>
  <c r="AU100" i="1"/>
  <c r="F92" i="1" s="1"/>
  <c r="AU102" i="1" s="1"/>
  <c r="H92" i="1" s="1"/>
  <c r="AU142" i="1" l="1"/>
  <c r="AU138" i="1"/>
  <c r="AU134" i="1"/>
  <c r="AU130" i="1"/>
  <c r="AU126" i="1"/>
  <c r="AU122" i="1"/>
  <c r="AU118" i="1"/>
  <c r="F102" i="1" s="1"/>
  <c r="AU114" i="1"/>
  <c r="AU110" i="1"/>
  <c r="AU103" i="1"/>
  <c r="AU97" i="1"/>
  <c r="AU94" i="1"/>
  <c r="AU91" i="1"/>
  <c r="AU88" i="1"/>
  <c r="AU133" i="1"/>
  <c r="D154" i="1"/>
  <c r="AH87" i="1" l="1"/>
  <c r="AZ17" i="1"/>
  <c r="AZ22" i="1" s="1"/>
  <c r="AZ15" i="1"/>
  <c r="AW15" i="1"/>
  <c r="AU3" i="1"/>
  <c r="AW12" i="1"/>
  <c r="AU235" i="1" l="1"/>
  <c r="E154" i="1" s="1"/>
  <c r="AU238" i="1" s="1"/>
  <c r="H154" i="1" s="1"/>
  <c r="AU236" i="1" s="1"/>
  <c r="F154" i="1" s="1"/>
  <c r="AU4" i="1"/>
  <c r="H7" i="1" s="1"/>
  <c r="AU231" i="1"/>
  <c r="E153" i="1" s="1"/>
  <c r="AU234" i="1" s="1"/>
  <c r="H153" i="1" s="1"/>
  <c r="AU227" i="1"/>
  <c r="E152" i="1" s="1"/>
  <c r="AU223" i="1"/>
  <c r="E151" i="1" s="1"/>
  <c r="AU226" i="1" s="1"/>
  <c r="H151" i="1" s="1"/>
  <c r="AU214" i="1"/>
  <c r="E145" i="1" s="1"/>
  <c r="AU106" i="1"/>
  <c r="F95" i="1" s="1"/>
  <c r="AU113" i="1"/>
  <c r="F80" i="1"/>
  <c r="F88" i="1" s="1"/>
  <c r="AU90" i="1" s="1"/>
  <c r="H88" i="1" s="1"/>
  <c r="AU117" i="1"/>
  <c r="AU125" i="1"/>
  <c r="AU109" i="1"/>
  <c r="AU87" i="1"/>
  <c r="H98" i="1" s="1"/>
  <c r="AU121" i="1"/>
  <c r="AU129" i="1"/>
  <c r="AU137" i="1"/>
  <c r="AU141" i="1"/>
  <c r="AU194" i="1"/>
  <c r="E138" i="1" s="1"/>
  <c r="AU197" i="1" s="1"/>
  <c r="H138" i="1" s="1"/>
  <c r="AU195" i="1" s="1"/>
  <c r="F138" i="1" s="1"/>
  <c r="AU198" i="1"/>
  <c r="E139" i="1" s="1"/>
  <c r="AU201" i="1" s="1"/>
  <c r="H139" i="1" s="1"/>
  <c r="AU199" i="1" s="1"/>
  <c r="F139" i="1" s="1"/>
  <c r="AU202" i="1"/>
  <c r="E140" i="1" s="1"/>
  <c r="AU205" i="1" s="1"/>
  <c r="H140" i="1" s="1"/>
  <c r="AU206" i="1"/>
  <c r="E141" i="1" s="1"/>
  <c r="AU209" i="1" s="1"/>
  <c r="H141" i="1" s="1"/>
  <c r="AU207" i="1" s="1"/>
  <c r="F141" i="1" s="1"/>
  <c r="AU210" i="1"/>
  <c r="E142" i="1" s="1"/>
  <c r="AU213" i="1" s="1"/>
  <c r="H142" i="1" s="1"/>
  <c r="H6" i="1"/>
  <c r="AU56" i="1"/>
  <c r="G54" i="1" s="1"/>
  <c r="AU59" i="1"/>
  <c r="G55" i="1" s="1"/>
  <c r="AU62" i="1"/>
  <c r="G56" i="1" s="1"/>
  <c r="AU149" i="1"/>
  <c r="H118" i="1" s="1"/>
  <c r="AU150" i="1"/>
  <c r="F120" i="1" s="1"/>
  <c r="AU152" i="1" s="1"/>
  <c r="H120" i="1" s="1"/>
  <c r="AU162" i="1"/>
  <c r="F124" i="1" s="1"/>
  <c r="AU164" i="1" s="1"/>
  <c r="H124" i="1" s="1"/>
  <c r="AU165" i="1"/>
  <c r="F125" i="1" s="1"/>
  <c r="AU167" i="1" s="1"/>
  <c r="H125" i="1" s="1"/>
  <c r="AU193" i="1"/>
  <c r="H136" i="1" s="1"/>
  <c r="C50" i="1"/>
  <c r="E50" i="1"/>
  <c r="AU53" i="1" s="1"/>
  <c r="AU18" i="1"/>
  <c r="C39" i="1" s="1"/>
  <c r="AU20" i="1"/>
  <c r="G39" i="1" s="1"/>
  <c r="AU25" i="1"/>
  <c r="G40" i="1" s="1"/>
  <c r="AU30" i="1"/>
  <c r="G41" i="1" s="1"/>
  <c r="AU33" i="1"/>
  <c r="C45" i="1" s="1"/>
  <c r="AU35" i="1"/>
  <c r="G45" i="1" s="1"/>
  <c r="AU40" i="1"/>
  <c r="G46" i="1" s="1"/>
  <c r="AU45" i="1"/>
  <c r="G47" i="1" s="1"/>
  <c r="AU23" i="1"/>
  <c r="C40" i="1" s="1"/>
  <c r="AU28" i="1"/>
  <c r="C41" i="1" s="1"/>
  <c r="AU64" i="1"/>
  <c r="G57" i="1" s="1"/>
  <c r="AU67" i="1"/>
  <c r="G58" i="1" s="1"/>
  <c r="AU69" i="1"/>
  <c r="AU70" i="1" s="1"/>
  <c r="AU71" i="1" s="1"/>
  <c r="AU72" i="1" s="1"/>
  <c r="AU73" i="1" s="1"/>
  <c r="AA59" i="1"/>
  <c r="H69" i="1"/>
  <c r="AU79" i="1"/>
  <c r="H70" i="1" s="1"/>
  <c r="AU80" i="1"/>
  <c r="H71" i="1" s="1"/>
  <c r="AU81" i="1"/>
  <c r="H72" i="1" s="1"/>
  <c r="AU82" i="1"/>
  <c r="H73" i="1" s="1"/>
  <c r="AU83" i="1"/>
  <c r="H74" i="1" s="1"/>
  <c r="AU43" i="1"/>
  <c r="C47" i="1" s="1"/>
  <c r="AU38" i="1"/>
  <c r="C46" i="1" s="1"/>
  <c r="AU86" i="1"/>
  <c r="E98" i="1" s="1"/>
  <c r="G17" i="1"/>
  <c r="AU52" i="1"/>
  <c r="AU13" i="1"/>
  <c r="F31" i="1" s="1"/>
  <c r="AU9" i="1"/>
  <c r="AE23" i="1" s="1"/>
  <c r="AU84" i="1"/>
  <c r="C76" i="1" s="1"/>
  <c r="AU222" i="1"/>
  <c r="H150" i="1" s="1"/>
  <c r="AU294" i="1"/>
  <c r="F193" i="1" s="1"/>
  <c r="AU104" i="1" l="1"/>
  <c r="AU101" i="1"/>
  <c r="G92" i="1" s="1"/>
  <c r="AU187" i="1"/>
  <c r="F132" i="1" s="1"/>
  <c r="AU189" i="1" s="1"/>
  <c r="H132" i="1" s="1"/>
  <c r="AU16" i="1" s="1"/>
  <c r="AE29" i="1" s="1"/>
  <c r="AU168" i="1"/>
  <c r="F126" i="1" s="1"/>
  <c r="AU170" i="1" s="1"/>
  <c r="H126" i="1" s="1"/>
  <c r="AU156" i="1"/>
  <c r="F122" i="1" s="1"/>
  <c r="AU158" i="1" s="1"/>
  <c r="H122" i="1" s="1"/>
  <c r="AU183" i="1"/>
  <c r="F131" i="1" s="1"/>
  <c r="AU185" i="1" s="1"/>
  <c r="H131" i="1" s="1"/>
  <c r="AU184" i="1" s="1"/>
  <c r="G131" i="1" s="1"/>
  <c r="AU171" i="1"/>
  <c r="F127" i="1" s="1"/>
  <c r="AU173" i="1" s="1"/>
  <c r="H127" i="1" s="1"/>
  <c r="AU172" i="1" s="1"/>
  <c r="G127" i="1" s="1"/>
  <c r="F91" i="1"/>
  <c r="AU99" i="1" s="1"/>
  <c r="H91" i="1" s="1"/>
  <c r="AU98" i="1" s="1"/>
  <c r="G91" i="1" s="1"/>
  <c r="AU159" i="1"/>
  <c r="F123" i="1" s="1"/>
  <c r="AU161" i="1" s="1"/>
  <c r="H123" i="1" s="1"/>
  <c r="AU160" i="1" s="1"/>
  <c r="G123" i="1" s="1"/>
  <c r="F105" i="1"/>
  <c r="AU132" i="1" s="1"/>
  <c r="H105" i="1" s="1"/>
  <c r="AU131" i="1" s="1"/>
  <c r="G105" i="1" s="1"/>
  <c r="F93" i="1"/>
  <c r="AU105" i="1" s="1"/>
  <c r="H93" i="1" s="1"/>
  <c r="AU148" i="1"/>
  <c r="E118" i="1" s="1"/>
  <c r="AU180" i="1"/>
  <c r="F130" i="1" s="1"/>
  <c r="AU182" i="1" s="1"/>
  <c r="H130" i="1" s="1"/>
  <c r="AU181" i="1" s="1"/>
  <c r="G130" i="1" s="1"/>
  <c r="AU153" i="1"/>
  <c r="F121" i="1" s="1"/>
  <c r="AU155" i="1" s="1"/>
  <c r="H121" i="1" s="1"/>
  <c r="AU154" i="1" s="1"/>
  <c r="G121" i="1" s="1"/>
  <c r="F101" i="1"/>
  <c r="AU116" i="1" s="1"/>
  <c r="H101" i="1" s="1"/>
  <c r="AU115" i="1" s="1"/>
  <c r="G101" i="1" s="1"/>
  <c r="AU190" i="1"/>
  <c r="F133" i="1" s="1"/>
  <c r="AU192" i="1" s="1"/>
  <c r="H133" i="1" s="1"/>
  <c r="AU191" i="1" s="1"/>
  <c r="G133" i="1" s="1"/>
  <c r="AU177" i="1"/>
  <c r="F129" i="1" s="1"/>
  <c r="AU179" i="1" s="1"/>
  <c r="H129" i="1" s="1"/>
  <c r="AU178" i="1" s="1"/>
  <c r="G129" i="1" s="1"/>
  <c r="F104" i="1"/>
  <c r="AU128" i="1" s="1"/>
  <c r="H104" i="1" s="1"/>
  <c r="AU127" i="1" s="1"/>
  <c r="G104" i="1" s="1"/>
  <c r="AA70" i="1"/>
  <c r="F73" i="1"/>
  <c r="G73" i="1"/>
  <c r="AA68" i="1"/>
  <c r="G71" i="1"/>
  <c r="F71" i="1"/>
  <c r="F103" i="1"/>
  <c r="AU124" i="1" s="1"/>
  <c r="H103" i="1" s="1"/>
  <c r="AU123" i="1" s="1"/>
  <c r="G103" i="1" s="1"/>
  <c r="F90" i="1"/>
  <c r="AU96" i="1" s="1"/>
  <c r="H90" i="1" s="1"/>
  <c r="AU95" i="1" s="1"/>
  <c r="G90" i="1" s="1"/>
  <c r="G69" i="1"/>
  <c r="F69" i="1"/>
  <c r="AA69" i="1"/>
  <c r="F72" i="1"/>
  <c r="G72" i="1"/>
  <c r="F74" i="1"/>
  <c r="G74" i="1"/>
  <c r="F70" i="1"/>
  <c r="G70" i="1"/>
  <c r="AA66" i="1"/>
  <c r="AU120" i="1"/>
  <c r="H102" i="1" s="1"/>
  <c r="AU119" i="1" s="1"/>
  <c r="G102" i="1" s="1"/>
  <c r="AU268" i="1"/>
  <c r="AC165" i="1" s="1"/>
  <c r="F100" i="1"/>
  <c r="AU85" i="1"/>
  <c r="H76" i="1" s="1"/>
  <c r="AB68" i="1"/>
  <c r="AB70" i="1"/>
  <c r="AB59" i="1"/>
  <c r="AB66" i="1"/>
  <c r="AU17" i="1"/>
  <c r="AU27" i="1" s="1"/>
  <c r="A41" i="1" s="1"/>
  <c r="AU29" i="1" s="1"/>
  <c r="E41" i="1" s="1"/>
  <c r="AU31" i="1" s="1"/>
  <c r="H41" i="1" s="1"/>
  <c r="AU169" i="1"/>
  <c r="G126" i="1" s="1"/>
  <c r="AU151" i="1"/>
  <c r="G120" i="1" s="1"/>
  <c r="AU212" i="1"/>
  <c r="G142" i="1" s="1"/>
  <c r="AU166" i="1"/>
  <c r="G125" i="1" s="1"/>
  <c r="AU157" i="1"/>
  <c r="G122" i="1" s="1"/>
  <c r="AU204" i="1"/>
  <c r="G140" i="1" s="1"/>
  <c r="H85" i="1"/>
  <c r="E85" i="1"/>
  <c r="AU266" i="1"/>
  <c r="AC164" i="1" s="1"/>
  <c r="AU12" i="1"/>
  <c r="AE26" i="1" s="1"/>
  <c r="AU163" i="1"/>
  <c r="G124" i="1" s="1"/>
  <c r="AB71" i="1"/>
  <c r="AA71" i="1"/>
  <c r="AB69" i="1"/>
  <c r="AU89" i="1"/>
  <c r="G88" i="1" s="1"/>
  <c r="AU270" i="1"/>
  <c r="AC166" i="1" s="1"/>
  <c r="AB67" i="1"/>
  <c r="AA67" i="1"/>
  <c r="F89" i="1"/>
  <c r="AU93" i="1" s="1"/>
  <c r="H89" i="1" s="1"/>
  <c r="AU92" i="1" s="1"/>
  <c r="G89" i="1" s="1"/>
  <c r="AU233" i="1"/>
  <c r="G153" i="1" s="1"/>
  <c r="AU108" i="1"/>
  <c r="H96" i="1" s="1"/>
  <c r="AU224" i="1"/>
  <c r="F151" i="1" s="1"/>
  <c r="AU232" i="1"/>
  <c r="F153" i="1" s="1"/>
  <c r="AU208" i="1"/>
  <c r="G141" i="1" s="1"/>
  <c r="AU200" i="1"/>
  <c r="G139" i="1" s="1"/>
  <c r="AU225" i="1"/>
  <c r="G151" i="1" s="1"/>
  <c r="AU211" i="1"/>
  <c r="F142" i="1" s="1"/>
  <c r="AU237" i="1"/>
  <c r="G154" i="1" s="1"/>
  <c r="AU196" i="1"/>
  <c r="G138" i="1" s="1"/>
  <c r="AU203" i="1"/>
  <c r="F140" i="1" s="1"/>
  <c r="G93" i="1" l="1"/>
  <c r="AU188" i="1"/>
  <c r="G132" i="1" s="1"/>
  <c r="AU112" i="1"/>
  <c r="H100" i="1" s="1"/>
  <c r="AU10" i="1"/>
  <c r="AE24" i="1" s="1"/>
  <c r="AU14" i="1"/>
  <c r="AE27" i="1" s="1"/>
  <c r="AA73" i="1"/>
  <c r="F76" i="1"/>
  <c r="G76" i="1"/>
  <c r="AB73" i="1"/>
  <c r="AU22" i="1"/>
  <c r="A40" i="1" s="1"/>
  <c r="AU24" i="1" s="1"/>
  <c r="E40" i="1" s="1"/>
  <c r="A39" i="1"/>
  <c r="AU32" i="1" s="1"/>
  <c r="AU272" i="1"/>
  <c r="AC167" i="1" s="1"/>
  <c r="AU8" i="1" s="1"/>
  <c r="AE19" i="1" s="1"/>
  <c r="AB41" i="1"/>
  <c r="AA41" i="1"/>
  <c r="AU11" i="1"/>
  <c r="AE25" i="1" s="1"/>
  <c r="AU107" i="1"/>
  <c r="G95" i="1" s="1"/>
  <c r="AU111" i="1" l="1"/>
  <c r="G100" i="1" s="1"/>
  <c r="AU26" i="1"/>
  <c r="H40" i="1" s="1"/>
  <c r="AA40" i="1" s="1"/>
  <c r="AU275" i="1"/>
  <c r="AC168" i="1" s="1"/>
  <c r="AU19" i="1"/>
  <c r="E39" i="1" s="1"/>
  <c r="AU42" i="1"/>
  <c r="A47" i="1" s="1"/>
  <c r="AU44" i="1" s="1"/>
  <c r="E47" i="1" s="1"/>
  <c r="AU46" i="1" s="1"/>
  <c r="H47" i="1" s="1"/>
  <c r="AU37" i="1"/>
  <c r="A46" i="1" s="1"/>
  <c r="AU39" i="1" s="1"/>
  <c r="E46" i="1" s="1"/>
  <c r="AU41" i="1" s="1"/>
  <c r="H46" i="1" s="1"/>
  <c r="A45" i="1"/>
  <c r="AB40" i="1" l="1"/>
  <c r="AU21" i="1"/>
  <c r="H39" i="1" s="1"/>
  <c r="AB39" i="1" s="1"/>
  <c r="AA52" i="1"/>
  <c r="AD52" i="1" s="1"/>
  <c r="AA51" i="1"/>
  <c r="AU50" i="1"/>
  <c r="AA50" i="1"/>
  <c r="AA47" i="1"/>
  <c r="AB47" i="1"/>
  <c r="AU34" i="1"/>
  <c r="E45" i="1" s="1"/>
  <c r="AU36" i="1" s="1"/>
  <c r="H45" i="1" s="1"/>
  <c r="AU61" i="1"/>
  <c r="AU66" i="1"/>
  <c r="E58" i="1" s="1"/>
  <c r="AU68" i="1" s="1"/>
  <c r="H58" i="1" s="1"/>
  <c r="AU58" i="1"/>
  <c r="E55" i="1" s="1"/>
  <c r="AU60" i="1" s="1"/>
  <c r="H55" i="1" s="1"/>
  <c r="AU55" i="1"/>
  <c r="E54" i="1" s="1"/>
  <c r="AU57" i="1" s="1"/>
  <c r="H54" i="1" s="1"/>
  <c r="AB46" i="1"/>
  <c r="AA46" i="1"/>
  <c r="AA39" i="1" l="1"/>
  <c r="AD51" i="1"/>
  <c r="H50" i="1"/>
  <c r="AB58" i="1"/>
  <c r="AA58" i="1"/>
  <c r="AB54" i="1"/>
  <c r="AA54" i="1"/>
  <c r="AB45" i="1"/>
  <c r="AA45" i="1"/>
  <c r="E57" i="1"/>
  <c r="AU65" i="1" s="1"/>
  <c r="H57" i="1" s="1"/>
  <c r="E56" i="1"/>
  <c r="AU63" i="1" s="1"/>
  <c r="H56" i="1" s="1"/>
  <c r="AA55" i="1"/>
  <c r="AB55" i="1"/>
  <c r="AU47" i="1"/>
  <c r="AB53" i="1" l="1"/>
  <c r="AU54" i="1"/>
  <c r="AA53" i="1"/>
  <c r="H52" i="1"/>
  <c r="AB57" i="1"/>
  <c r="AA57" i="1"/>
  <c r="AU75" i="1"/>
  <c r="H62" i="1" s="1"/>
  <c r="AB56" i="1"/>
  <c r="AA56" i="1"/>
  <c r="H66" i="1" l="1"/>
  <c r="H78" i="1" s="1"/>
  <c r="G78" i="1"/>
  <c r="F66" i="1"/>
  <c r="F78" i="1" s="1"/>
  <c r="AU244" i="1"/>
  <c r="G160" i="1" s="1"/>
  <c r="AU243" i="1" s="1"/>
  <c r="F160" i="1" s="1"/>
  <c r="AU218" i="1"/>
  <c r="AE136" i="1" s="1"/>
  <c r="AU77" i="1"/>
  <c r="H63" i="1" s="1"/>
  <c r="AU76" i="1" s="1"/>
  <c r="C63" i="1" s="1"/>
  <c r="AA61" i="1"/>
  <c r="AB61" i="1"/>
  <c r="AB62" i="1"/>
  <c r="AA62" i="1"/>
  <c r="AU176" i="1"/>
  <c r="H128" i="1" s="1"/>
  <c r="AU274" i="1" l="1"/>
  <c r="G178" i="1" s="1"/>
  <c r="H178" i="1" s="1"/>
  <c r="AU242" i="1"/>
  <c r="E160" i="1" s="1"/>
  <c r="AU7" i="1"/>
  <c r="AE18" i="1" s="1"/>
  <c r="AU74" i="1"/>
  <c r="C62" i="1" s="1"/>
  <c r="AU15" i="1"/>
  <c r="AE28" i="1" s="1"/>
  <c r="AU175" i="1"/>
  <c r="G128" i="1" s="1"/>
  <c r="AU174" i="1"/>
  <c r="F128" i="1" s="1"/>
  <c r="F106" i="1" l="1"/>
  <c r="AU136" i="1" l="1"/>
  <c r="H106" i="1" s="1"/>
  <c r="AU135" i="1"/>
  <c r="G106" i="1" s="1"/>
  <c r="F107" i="1"/>
  <c r="AU140" i="1" s="1"/>
  <c r="H107" i="1" s="1"/>
  <c r="AU139" i="1" l="1"/>
  <c r="G107" i="1" s="1"/>
  <c r="F108" i="1"/>
  <c r="AU144" i="1" s="1"/>
  <c r="H108" i="1" s="1"/>
  <c r="AU145" i="1" l="1"/>
  <c r="F110" i="1" s="1"/>
  <c r="AU143" i="1"/>
  <c r="G108" i="1" s="1"/>
  <c r="AU147" i="1"/>
  <c r="H110" i="1" s="1"/>
  <c r="AU146" i="1" s="1"/>
  <c r="G110" i="1" s="1"/>
  <c r="AU186" i="1" l="1"/>
  <c r="AD122" i="1" s="1"/>
  <c r="AU217" i="1" s="1"/>
  <c r="H145" i="1" s="1"/>
  <c r="AU215" i="1" s="1"/>
  <c r="F145" i="1" s="1"/>
  <c r="AU230" i="1" s="1"/>
  <c r="H152" i="1" s="1"/>
  <c r="AU241" i="1" l="1"/>
  <c r="H156" i="1" s="1"/>
  <c r="AU229" i="1"/>
  <c r="G152" i="1" s="1"/>
  <c r="AU228" i="1"/>
  <c r="F152" i="1" s="1"/>
  <c r="AU221" i="1"/>
  <c r="H147" i="1" s="1"/>
  <c r="AU5" i="1" s="1"/>
  <c r="AE16" i="1" s="1"/>
  <c r="AU216" i="1"/>
  <c r="G145" i="1" s="1"/>
  <c r="AU239" i="1" l="1"/>
  <c r="F156" i="1" s="1"/>
  <c r="AU253" i="1"/>
  <c r="G164" i="1" s="1"/>
  <c r="AU240" i="1"/>
  <c r="G156" i="1" s="1"/>
  <c r="AU6" i="1"/>
  <c r="AE17" i="1" s="1"/>
  <c r="AU220" i="1"/>
  <c r="G147" i="1" s="1"/>
  <c r="AU247" i="1"/>
  <c r="G161" i="1" s="1"/>
  <c r="AU246" i="1" s="1"/>
  <c r="F161" i="1" s="1"/>
  <c r="AU219" i="1"/>
  <c r="F147" i="1" s="1"/>
  <c r="AU251" i="1" l="1"/>
  <c r="E164" i="1" s="1"/>
  <c r="AU252" i="1"/>
  <c r="F164" i="1" s="1"/>
  <c r="AU293" i="1"/>
  <c r="H191" i="1" s="1"/>
  <c r="AU245" i="1"/>
  <c r="E161" i="1" s="1"/>
  <c r="AU250" i="1"/>
  <c r="G163" i="1" s="1"/>
  <c r="AU248" i="1" s="1"/>
  <c r="E163" i="1" s="1"/>
  <c r="AU262" i="1"/>
  <c r="G172" i="1" s="1"/>
  <c r="AU259" i="1" s="1"/>
  <c r="G170" i="1" s="1"/>
  <c r="AU263" i="1"/>
  <c r="H172" i="1" s="1"/>
  <c r="AU258" i="1" s="1"/>
  <c r="H169" i="1" s="1"/>
  <c r="AU265" i="1"/>
  <c r="H173" i="1" s="1"/>
  <c r="AU257" i="1" l="1"/>
  <c r="G169" i="1" s="1"/>
  <c r="AU260" i="1"/>
  <c r="H170" i="1" s="1"/>
  <c r="AU295" i="1"/>
  <c r="H193" i="1" s="1"/>
  <c r="AU249" i="1"/>
  <c r="F163" i="1" s="1"/>
  <c r="AU296" i="1" s="1"/>
  <c r="H194" i="1" s="1"/>
  <c r="AU256" i="1"/>
  <c r="G166" i="1" s="1"/>
  <c r="AU254" i="1" s="1"/>
  <c r="E166" i="1" s="1"/>
  <c r="AU255" i="1" l="1"/>
  <c r="F166" i="1" s="1"/>
  <c r="AU261" i="1" s="1"/>
  <c r="AC161" i="1" s="1"/>
  <c r="AU264" i="1"/>
  <c r="AC162" i="1" s="1"/>
  <c r="AU2" i="1"/>
  <c r="H3" i="1" s="1"/>
  <c r="H4" i="1" l="1"/>
  <c r="AU271" i="1"/>
  <c r="D177" i="1" s="1"/>
  <c r="AU273" i="1"/>
  <c r="AD167" i="1" s="1"/>
  <c r="AU292" i="1"/>
  <c r="C187" i="1" s="1"/>
  <c r="AU291" i="1" s="1"/>
  <c r="B187" i="1" s="1"/>
  <c r="AU286" i="1"/>
  <c r="C184" i="1" s="1"/>
  <c r="AU285" i="1" s="1"/>
  <c r="B184" i="1" s="1"/>
  <c r="AU278" i="1"/>
  <c r="AC170" i="1" s="1"/>
  <c r="AU283" i="1"/>
  <c r="C183" i="1" s="1"/>
  <c r="AU282" i="1" s="1"/>
  <c r="B183" i="1" s="1"/>
  <c r="AU290" i="1"/>
  <c r="C186" i="1" s="1"/>
  <c r="AU289" i="1" s="1"/>
  <c r="B186" i="1" s="1"/>
  <c r="AU288" i="1"/>
  <c r="C185" i="1" s="1"/>
  <c r="AU287" i="1" s="1"/>
  <c r="B185" i="1" s="1"/>
  <c r="AU276" i="1" l="1"/>
  <c r="AD168" i="1" s="1"/>
  <c r="AU277" i="1"/>
  <c r="AD169" i="1" s="1"/>
  <c r="AU281" i="1"/>
  <c r="AC172" i="1" s="1"/>
  <c r="AU280" i="1"/>
  <c r="AC171" i="1" s="1"/>
  <c r="AU284" i="1" l="1"/>
  <c r="AC173" i="1" s="1"/>
  <c r="AU267" i="1" s="1"/>
  <c r="G175" i="1" s="1"/>
  <c r="AU279" i="1"/>
  <c r="AD170" i="1" s="1"/>
  <c r="AU269" i="1" s="1"/>
  <c r="G1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D29"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F29"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H29" authorId="0" shapeId="0" xr:uid="{00000000-0006-0000-0000-000003000000}">
      <text>
        <r>
          <rPr>
            <b/>
            <sz val="12"/>
            <color indexed="81"/>
            <rFont val="Arial"/>
            <family val="2"/>
          </rPr>
          <t>The Pessimistic expectation should be the poorest result you would reasonably expect to occur 1 out of every 6 years</t>
        </r>
        <r>
          <rPr>
            <b/>
            <sz val="8"/>
            <color indexed="81"/>
            <rFont val="Tahoma"/>
            <family val="2"/>
          </rPr>
          <t xml:space="preserve"> </t>
        </r>
        <r>
          <rPr>
            <sz val="8"/>
            <color indexed="81"/>
            <rFont val="Tahoma"/>
            <family val="2"/>
          </rPr>
          <t xml:space="preserve">
</t>
        </r>
      </text>
    </comment>
    <comment ref="D84" authorId="0" shapeId="0" xr:uid="{33753943-ABBB-4B14-B562-6A22FC9B0C48}">
      <text>
        <r>
          <rPr>
            <b/>
            <sz val="11"/>
            <color indexed="81"/>
            <rFont val="Tahoma"/>
            <family val="2"/>
          </rPr>
          <t>If a number is entered in the $/Cow column the budget will ignore any number entered in the $/Year column</t>
        </r>
        <r>
          <rPr>
            <sz val="10"/>
            <color indexed="81"/>
            <rFont val="Tahoma"/>
            <family val="2"/>
          </rPr>
          <t xml:space="preserve">
</t>
        </r>
      </text>
    </comment>
    <comment ref="E84" authorId="0" shapeId="0" xr:uid="{BEEFEDD7-A75E-4AD9-88E7-558E666D4FFE}">
      <text>
        <r>
          <rPr>
            <b/>
            <sz val="12"/>
            <color indexed="81"/>
            <rFont val="Tahoma"/>
            <family val="2"/>
          </rPr>
          <t>If a number is entered in the $/Cow column the budget will ignore any number entered in the $/Year column</t>
        </r>
        <r>
          <rPr>
            <sz val="10"/>
            <color indexed="81"/>
            <rFont val="Tahoma"/>
            <family val="2"/>
          </rPr>
          <t xml:space="preserve">
</t>
        </r>
      </text>
    </comment>
    <comment ref="D97" authorId="0" shapeId="0" xr:uid="{127ABA34-95A6-4A81-A927-CB6F415DFBC2}">
      <text>
        <r>
          <rPr>
            <b/>
            <sz val="11"/>
            <color indexed="81"/>
            <rFont val="Tahoma"/>
            <family val="2"/>
          </rPr>
          <t>If a number is entered in the $/Cow column the budget will ignore any number entered in the $/Year column</t>
        </r>
        <r>
          <rPr>
            <sz val="10"/>
            <color indexed="81"/>
            <rFont val="Tahoma"/>
            <family val="2"/>
          </rPr>
          <t xml:space="preserve">
</t>
        </r>
      </text>
    </comment>
    <comment ref="E97" authorId="0" shapeId="0" xr:uid="{46722B94-D538-4429-88F9-8B6D08A15BE3}">
      <text>
        <r>
          <rPr>
            <b/>
            <sz val="12"/>
            <color indexed="81"/>
            <rFont val="Tahoma"/>
            <family val="2"/>
          </rPr>
          <t>If a number is entered in the $/Cow column the budget will ignore any number entered in the $/Year column</t>
        </r>
        <r>
          <rPr>
            <sz val="10"/>
            <color indexed="81"/>
            <rFont val="Tahoma"/>
            <family val="2"/>
          </rPr>
          <t xml:space="preserve">
</t>
        </r>
      </text>
    </comment>
    <comment ref="D117" authorId="0" shapeId="0" xr:uid="{00000000-0006-0000-0000-000004000000}">
      <text>
        <r>
          <rPr>
            <b/>
            <sz val="11"/>
            <color indexed="81"/>
            <rFont val="Tahoma"/>
            <family val="2"/>
          </rPr>
          <t>If a number is entered in the $/Cow column the budget will ignore any number entered in the $/Year column</t>
        </r>
        <r>
          <rPr>
            <sz val="10"/>
            <color indexed="81"/>
            <rFont val="Tahoma"/>
            <family val="2"/>
          </rPr>
          <t xml:space="preserve">
</t>
        </r>
      </text>
    </comment>
    <comment ref="E117" authorId="0" shapeId="0" xr:uid="{00000000-0006-0000-0000-000005000000}">
      <text>
        <r>
          <rPr>
            <b/>
            <sz val="12"/>
            <color indexed="81"/>
            <rFont val="Tahoma"/>
            <family val="2"/>
          </rPr>
          <t>If a number is entered in the $/Cow column the budget will ignore any number entered in the $/Year column</t>
        </r>
        <r>
          <rPr>
            <sz val="10"/>
            <color indexed="81"/>
            <rFont val="Tahoma"/>
            <family val="2"/>
          </rPr>
          <t xml:space="preserve">
</t>
        </r>
      </text>
    </comment>
    <comment ref="B178"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<sst xmlns="http://schemas.openxmlformats.org/spreadsheetml/2006/main" count="363" uniqueCount="246">
  <si>
    <t>DAIRY ENTERPRISE BUDGET</t>
  </si>
  <si>
    <t xml:space="preserve">Number of Cows </t>
  </si>
  <si>
    <t>Shipments to fill 100% of</t>
  </si>
  <si>
    <t>Kg</t>
  </si>
  <si>
    <t>Quota and Credits -    Hl</t>
  </si>
  <si>
    <t xml:space="preserve">       Deductions:</t>
  </si>
  <si>
    <t>Fall Incentives</t>
  </si>
  <si>
    <t>Days/Mo.</t>
  </si>
  <si>
    <t>Transportation</t>
  </si>
  <si>
    <t>$/Hl</t>
  </si>
  <si>
    <t>Administration</t>
  </si>
  <si>
    <t>Kg/Hl</t>
  </si>
  <si>
    <t>Value of Components:(Within Quota)</t>
  </si>
  <si>
    <t>Butterfat</t>
  </si>
  <si>
    <t>$/Kg</t>
  </si>
  <si>
    <t>Protein</t>
  </si>
  <si>
    <t>Other Solids</t>
  </si>
  <si>
    <t>Tran!D3..G14</t>
  </si>
  <si>
    <t>Allo!C3..J14</t>
  </si>
  <si>
    <t>Avg. Butterfat kg/hl</t>
  </si>
  <si>
    <t>Milk Revenue Calculations</t>
  </si>
  <si>
    <t>Within Quota</t>
  </si>
  <si>
    <t>HL.</t>
  </si>
  <si>
    <t>TESTS</t>
  </si>
  <si>
    <t>KILOGRAMS</t>
  </si>
  <si>
    <t>PRICE/KG.</t>
  </si>
  <si>
    <t>AMOUNT</t>
  </si>
  <si>
    <t xml:space="preserve">   X      BF</t>
  </si>
  <si>
    <t>Kg./Hl.  =</t>
  </si>
  <si>
    <t xml:space="preserve">   X      PROT</t>
  </si>
  <si>
    <t xml:space="preserve">   X      OS</t>
  </si>
  <si>
    <t>GROSS MILK INCOME</t>
  </si>
  <si>
    <t>DEDUCTIONS</t>
  </si>
  <si>
    <t>X</t>
  </si>
  <si>
    <t>BLEND PRICE:</t>
  </si>
  <si>
    <t>-NET OF DEDUCTIONS</t>
  </si>
  <si>
    <t>/Hl.</t>
  </si>
  <si>
    <t xml:space="preserve">/Kg. </t>
  </si>
  <si>
    <t>Revenue from Animals Sold</t>
  </si>
  <si>
    <t>Head</t>
  </si>
  <si>
    <t>$/Head</t>
  </si>
  <si>
    <t>Revenue</t>
  </si>
  <si>
    <t xml:space="preserve">   Bull Calves or Dairy Steers</t>
  </si>
  <si>
    <t xml:space="preserve">   Heifers for Breeding</t>
  </si>
  <si>
    <t xml:space="preserve">   Cull Cows for Beef</t>
  </si>
  <si>
    <t xml:space="preserve">   Cows for Breeding Stock</t>
  </si>
  <si>
    <t xml:space="preserve">   Other -</t>
  </si>
  <si>
    <t xml:space="preserve">Description  </t>
  </si>
  <si>
    <t xml:space="preserve">  -------</t>
  </si>
  <si>
    <t>-</t>
  </si>
  <si>
    <t xml:space="preserve">   Total</t>
  </si>
  <si>
    <t>Number of Cows to Base Variable Costs on ==&gt;</t>
  </si>
  <si>
    <t xml:space="preserve"> **</t>
  </si>
  <si>
    <t>EXPENSES</t>
  </si>
  <si>
    <t>$/Year</t>
  </si>
  <si>
    <t>$/Cow</t>
  </si>
  <si>
    <t xml:space="preserve"> Variable Costs:</t>
  </si>
  <si>
    <t xml:space="preserve">  ------</t>
  </si>
  <si>
    <t>Purchased Feed:</t>
  </si>
  <si>
    <t/>
  </si>
  <si>
    <t xml:space="preserve">  Grain Purchased</t>
  </si>
  <si>
    <t xml:space="preserve">  Protein Supplement</t>
  </si>
  <si>
    <t xml:space="preserve">  Salt &amp; Mineral</t>
  </si>
  <si>
    <t>Homegrown Feed: *</t>
  </si>
  <si>
    <t xml:space="preserve"> Crop Transfers (based on </t>
  </si>
  <si>
    <t xml:space="preserve">       #2</t>
  </si>
  <si>
    <t xml:space="preserve">       #3</t>
  </si>
  <si>
    <t xml:space="preserve"> </t>
  </si>
  <si>
    <t xml:space="preserve">  --------</t>
  </si>
  <si>
    <t>Total Feed Cost</t>
  </si>
  <si>
    <t>Typical</t>
  </si>
  <si>
    <t>Livestock Purchases</t>
  </si>
  <si>
    <t xml:space="preserve"> -------</t>
  </si>
  <si>
    <t xml:space="preserve"> --------</t>
  </si>
  <si>
    <t xml:space="preserve">       #1</t>
  </si>
  <si>
    <t>Hired Labour</t>
  </si>
  <si>
    <t>Vet. &amp; Medicine</t>
  </si>
  <si>
    <t>Breeding Fees</t>
  </si>
  <si>
    <t>Wfarm!L4</t>
  </si>
  <si>
    <t>Breed Association Fees</t>
  </si>
  <si>
    <t>Wfarm!L5</t>
  </si>
  <si>
    <t>Milk Mkting Expenses</t>
  </si>
  <si>
    <t>Wfarm!L6</t>
  </si>
  <si>
    <t>Livestock Mkting &amp; Trucking</t>
  </si>
  <si>
    <t>Wfarm!L7</t>
  </si>
  <si>
    <t>Stable &amp; Milkhouse Supplies</t>
  </si>
  <si>
    <t>Wfarm!L8</t>
  </si>
  <si>
    <t>Custom Work</t>
  </si>
  <si>
    <t>Machinery &amp; Equip't Rentals</t>
  </si>
  <si>
    <t>Other Dairy Expenses</t>
  </si>
  <si>
    <t>Wfarm!L9</t>
  </si>
  <si>
    <t>Enterprise</t>
  </si>
  <si>
    <t xml:space="preserve"> $/Cow</t>
  </si>
  <si>
    <t>$ Allocated</t>
  </si>
  <si>
    <t xml:space="preserve"> Fuel</t>
  </si>
  <si>
    <t>Wfarm!K4</t>
  </si>
  <si>
    <t>Wfarm!K5</t>
  </si>
  <si>
    <t>Wfarm!K6</t>
  </si>
  <si>
    <t>Wfarm!K7</t>
  </si>
  <si>
    <t xml:space="preserve"> Interest on</t>
  </si>
  <si>
    <t>%int</t>
  </si>
  <si>
    <t xml:space="preserve">   -----</t>
  </si>
  <si>
    <t xml:space="preserve">    ----</t>
  </si>
  <si>
    <t>Total Variable Costs</t>
  </si>
  <si>
    <t xml:space="preserve"> Enterprise</t>
  </si>
  <si>
    <t>Fixed Costs:</t>
  </si>
  <si>
    <t xml:space="preserve">   $/Cow</t>
  </si>
  <si>
    <t xml:space="preserve"> Depreciation</t>
  </si>
  <si>
    <t xml:space="preserve"> Interest on Term Loans</t>
  </si>
  <si>
    <t xml:space="preserve"> Long-term Leases</t>
  </si>
  <si>
    <t>Total Fixed Costs</t>
  </si>
  <si>
    <t>Revenues:</t>
  </si>
  <si>
    <t>BREAK-EVEN CALC.</t>
  </si>
  <si>
    <t>Total Expected Revenues</t>
  </si>
  <si>
    <t>Volume (kg of B.F)</t>
  </si>
  <si>
    <t xml:space="preserve">    less: Variable Costs</t>
  </si>
  <si>
    <t>Effective Gross Price ($/kg b.f)</t>
  </si>
  <si>
    <t>Expected Operating Margin</t>
  </si>
  <si>
    <t>Deductions ($/kg b.f)</t>
  </si>
  <si>
    <t xml:space="preserve">    less: Fixed Costs</t>
  </si>
  <si>
    <t>Gross Sales</t>
  </si>
  <si>
    <t>Expected Net Revenue</t>
  </si>
  <si>
    <t>Cost Contributions</t>
  </si>
  <si>
    <t>Proof:</t>
  </si>
  <si>
    <t>Break-even Target Price of Milk</t>
  </si>
  <si>
    <t>Hl</t>
  </si>
  <si>
    <t xml:space="preserve">      Needed to Cover:</t>
  </si>
  <si>
    <t>Variable Costs</t>
  </si>
  <si>
    <t>Fixed Costs</t>
  </si>
  <si>
    <t>Total Costs</t>
  </si>
  <si>
    <t>Excluded:</t>
  </si>
  <si>
    <t>Chance of at least breaking even        ==&gt;</t>
  </si>
  <si>
    <t>$hL/$cow</t>
  </si>
  <si>
    <t>Chance of at least</t>
  </si>
  <si>
    <t>$/cow return ==&gt;</t>
  </si>
  <si>
    <t>mn</t>
  </si>
  <si>
    <t xml:space="preserve">    or of</t>
  </si>
  <si>
    <t>$/Kg return</t>
  </si>
  <si>
    <t>mlkvar2</t>
  </si>
  <si>
    <t xml:space="preserve">        Returns</t>
  </si>
  <si>
    <t>Chances of at least</t>
  </si>
  <si>
    <t>mlkvar3</t>
  </si>
  <si>
    <t>$/cow</t>
  </si>
  <si>
    <t>this return</t>
  </si>
  <si>
    <t>sumstd</t>
  </si>
  <si>
    <t>cowstd</t>
  </si>
  <si>
    <t xml:space="preserve">       17 %</t>
  </si>
  <si>
    <t xml:space="preserve">       33 %</t>
  </si>
  <si>
    <t>z</t>
  </si>
  <si>
    <t xml:space="preserve">       50 %</t>
  </si>
  <si>
    <t>v1</t>
  </si>
  <si>
    <t xml:space="preserve">       67 %</t>
  </si>
  <si>
    <t>v2</t>
  </si>
  <si>
    <t xml:space="preserve">       83 %</t>
  </si>
  <si>
    <t>p(vx)</t>
  </si>
  <si>
    <t>Expansion and Quota Evaluation</t>
  </si>
  <si>
    <t xml:space="preserve"> Interest Rate</t>
  </si>
  <si>
    <t>Cow Purchase Price</t>
  </si>
  <si>
    <t xml:space="preserve"> Life of Quota (yrs)</t>
  </si>
  <si>
    <t>Quota Value</t>
  </si>
  <si>
    <t>Profit per Cow</t>
  </si>
  <si>
    <t xml:space="preserve"> Current Quota Price $/kg </t>
  </si>
  <si>
    <t>Payback (yrs)</t>
  </si>
  <si>
    <t>* Variable cost that don't change with addition of a few cows  (units $/kg b.f.)</t>
  </si>
  <si>
    <t>Total deductions</t>
  </si>
  <si>
    <t>Return Per Cow:</t>
  </si>
  <si>
    <t>Return Per Hl:</t>
  </si>
  <si>
    <t xml:space="preserve"> Expected</t>
  </si>
  <si>
    <t xml:space="preserve"> General Variable Costs*</t>
  </si>
  <si>
    <t xml:space="preserve"> General Fixed Costs**</t>
  </si>
  <si>
    <t xml:space="preserve">         *(including utilities, professional fees, vehicle expenses etc)</t>
  </si>
  <si>
    <t xml:space="preserve">Homegrown Feed: </t>
  </si>
  <si>
    <t>**(Enter the herd size used to determine the variable costs if different than entered above)</t>
  </si>
  <si>
    <t>Kg Quota held</t>
  </si>
  <si>
    <t>NET MILK INCOME</t>
  </si>
  <si>
    <t>Use $/cow   OR   $/Year column</t>
  </si>
  <si>
    <t>Research</t>
  </si>
  <si>
    <t>Market Expansion</t>
  </si>
  <si>
    <t xml:space="preserve">        **(including property taxes, fire and liability insurance etc)</t>
  </si>
  <si>
    <t>Production</t>
  </si>
  <si>
    <t>Over Quota Charge</t>
  </si>
  <si>
    <t>Other Solids (OS)</t>
  </si>
  <si>
    <t>Expected Milk Shipments - Hl</t>
  </si>
  <si>
    <t xml:space="preserve">  Quota Value is based on paying for the cow and quota in the specified period.</t>
  </si>
  <si>
    <t>Butterfat (BF)</t>
  </si>
  <si>
    <t>Protein (PROT)</t>
  </si>
  <si>
    <t xml:space="preserve">   Heifers for Beef</t>
  </si>
  <si>
    <t xml:space="preserve"> Excludable Variable Cost $/kg b.f.*</t>
  </si>
  <si>
    <t>Kg Quota sold (-) or Purchased (+)</t>
  </si>
  <si>
    <t>Over quota charge: enter as a negative (-):</t>
  </si>
  <si>
    <t>Butterfat Test</t>
  </si>
  <si>
    <t>Protein Test</t>
  </si>
  <si>
    <t xml:space="preserve"> Operating Loan</t>
  </si>
  <si>
    <t>% of the year used</t>
  </si>
  <si>
    <t>High SNF Ratio Deduction</t>
  </si>
  <si>
    <t>max snf kg</t>
  </si>
  <si>
    <t>over SNF protein kg</t>
  </si>
  <si>
    <t>over snf OS kg</t>
  </si>
  <si>
    <t>SNF Ratio Cap</t>
  </si>
  <si>
    <t>Farm SNF ratio</t>
  </si>
  <si>
    <t>For more information:</t>
  </si>
  <si>
    <t>1-877-424-1300</t>
  </si>
  <si>
    <t>Other</t>
  </si>
  <si>
    <t>DHI</t>
  </si>
  <si>
    <t>Herd Average litres shipped /cow</t>
  </si>
  <si>
    <t xml:space="preserve">The user of this worksheet assumes all responsibility. </t>
  </si>
  <si>
    <t>ag.info.omafra@ontario.ca</t>
  </si>
  <si>
    <t>Numbers in blue can be changed / edited.</t>
  </si>
  <si>
    <t>Canwest DHI</t>
  </si>
  <si>
    <t xml:space="preserve">  Dairy Ration</t>
  </si>
  <si>
    <t>Note: Maximum '% of Quota &amp; Credits Shipped' that can be entered is 100%</t>
  </si>
  <si>
    <t xml:space="preserve"> Building Repair &amp; Maintenance</t>
  </si>
  <si>
    <t xml:space="preserve"> Machinery Repair &amp; Maintenance</t>
  </si>
  <si>
    <t xml:space="preserve">Risk Indicator - </t>
  </si>
  <si>
    <t>Low Risk</t>
  </si>
  <si>
    <t>Moderate Risk</t>
  </si>
  <si>
    <t>High Risk</t>
  </si>
  <si>
    <t>Coefficient of variation                 ==&gt;</t>
  </si>
  <si>
    <t>Milk Revenue (before deductions)</t>
  </si>
  <si>
    <t>TOTAL REVENUE</t>
  </si>
  <si>
    <t>Optimistic</t>
  </si>
  <si>
    <t>Pessimistic</t>
  </si>
  <si>
    <t>% of Quota &amp; Credits Shipped</t>
  </si>
  <si>
    <t>REVENUE SUMMARY</t>
  </si>
  <si>
    <t>litres</t>
  </si>
  <si>
    <t>Revised: 2023</t>
  </si>
  <si>
    <t>hl</t>
  </si>
  <si>
    <t>kg/hl</t>
  </si>
  <si>
    <t>kg BF produced</t>
  </si>
  <si>
    <t>litres/day</t>
  </si>
  <si>
    <t>litres/kg of BF</t>
  </si>
  <si>
    <t>Seed</t>
  </si>
  <si>
    <t>Fertilizers</t>
  </si>
  <si>
    <t>Pesticides</t>
  </si>
  <si>
    <t>Custom work</t>
  </si>
  <si>
    <t>Land rent</t>
  </si>
  <si>
    <t>Other crop expenses</t>
  </si>
  <si>
    <t>Machinery rent/lease</t>
  </si>
  <si>
    <t xml:space="preserve"> Building rent</t>
  </si>
  <si>
    <t>Milk Replacer &amp; Calf Ration</t>
  </si>
  <si>
    <t>End of worksheet</t>
  </si>
  <si>
    <t>This is a cost of production budgeting tool that has 1 worksheet. There are fields that can be completed by the user. It is 8 columns wide and 210 rows.</t>
  </si>
  <si>
    <t>OMAFA Agricultural Information Centre</t>
  </si>
  <si>
    <t>Use cost to produce or by feedstuff:</t>
  </si>
  <si>
    <t>Fuel &amp; lubricants</t>
  </si>
  <si>
    <t>Machinery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</si>
</sst>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quot;$&quot;#,##0\)"/>
    <numFmt numFmtId="165" formatCode="&quot;$&quot;#,##0.00_);\(&quot;$&quot;#,##0.00\)"/>
    <numFmt numFmtId="166" formatCode="_(* #,##0_);_(* \(#,##0\);_(* &quot;-&quot;_);_(@_)"/>
    <numFmt numFmtId="167" formatCode="_(&quot;$&quot;* #,##0.00_);_(&quot;$&quot;* \(#,##0.00\);_(&quot;$&quot;* &quot;-&quot;??_);_(@_)"/>
    <numFmt numFmtId="168" formatCode="_(* #,##0.00_);_(* \(#,##0.00\);_(* &quot;-&quot;??_);_(@_)"/>
    <numFmt numFmtId="169" formatCode=";;;"/>
    <numFmt numFmtId="170" formatCode="0.00_)"/>
    <numFmt numFmtId="171" formatCode="0.000_)"/>
    <numFmt numFmtId="172" formatCode="0_)"/>
    <numFmt numFmtId="173" formatCode="0.0_)"/>
    <numFmt numFmtId="174" formatCode="0.0%"/>
    <numFmt numFmtId="175" formatCode="&quot;$&quot;#,##0.0000_);\(&quot;$&quot;#,##0.0000\)"/>
    <numFmt numFmtId="176" formatCode="&quot;$&quot;#,##0.000_);\(&quot;$&quot;#,##0.000\)"/>
    <numFmt numFmtId="177" formatCode="&quot;$&quot;#,##0.00"/>
    <numFmt numFmtId="178" formatCode="_(* #,##0.0_);_(* \(#,##0.0\);_(* &quot;-&quot;??_);_(@_)"/>
    <numFmt numFmtId="179" formatCode="_(&quot;$&quot;* #,##0_);_(&quot;$&quot;* \(#,##0\);_(&quot;$&quot;* &quot;-&quot;??_);_(@_)"/>
    <numFmt numFmtId="180" formatCode="#,##0.000;\-#,##0.000"/>
  </numFmts>
  <fonts count="25" x14ac:knownFonts="1">
    <font>
      <sz val="10"/>
      <name val="Arial"/>
    </font>
    <font>
      <sz val="10"/>
      <name val="Arial"/>
      <family val="2"/>
    </font>
    <font>
      <sz val="10"/>
      <name val="Courier"/>
      <family val="3"/>
    </font>
    <font>
      <b/>
      <sz val="9"/>
      <color indexed="8"/>
      <name val="Arial"/>
      <family val="2"/>
    </font>
    <font>
      <b/>
      <sz val="9"/>
      <color indexed="12"/>
      <name val="Arial"/>
      <family val="2"/>
    </font>
    <font>
      <sz val="9"/>
      <name val="Courier New"/>
      <family val="3"/>
    </font>
    <font>
      <b/>
      <sz val="9"/>
      <color indexed="42"/>
      <name val="Arial"/>
      <family val="2"/>
    </font>
    <font>
      <b/>
      <sz val="9"/>
      <name val="Arial"/>
      <family val="2"/>
    </font>
    <font>
      <b/>
      <sz val="9"/>
      <name val="Arial"/>
      <family val="2"/>
    </font>
    <font>
      <sz val="10"/>
      <color indexed="81"/>
      <name val="Tahoma"/>
      <family val="2"/>
    </font>
    <font>
      <b/>
      <sz val="8"/>
      <color indexed="81"/>
      <name val="Tahoma"/>
      <family val="2"/>
    </font>
    <font>
      <u/>
      <sz val="10"/>
      <color indexed="12"/>
      <name val="Arial"/>
      <family val="2"/>
    </font>
    <font>
      <b/>
      <sz val="12"/>
      <name val="Arial"/>
      <family val="2"/>
    </font>
    <font>
      <sz val="12"/>
      <name val="Courier"/>
      <family val="3"/>
    </font>
    <font>
      <b/>
      <sz val="12"/>
      <color indexed="8"/>
      <name val="Arial"/>
      <family val="2"/>
    </font>
    <font>
      <b/>
      <sz val="12"/>
      <color indexed="12"/>
      <name val="Arial"/>
      <family val="2"/>
    </font>
    <font>
      <b/>
      <sz val="12"/>
      <color indexed="42"/>
      <name val="Arial"/>
      <family val="2"/>
    </font>
    <font>
      <u/>
      <sz val="12"/>
      <color indexed="12"/>
      <name val="Arial"/>
      <family val="2"/>
    </font>
    <font>
      <sz val="12"/>
      <name val="Courier New"/>
      <family val="3"/>
    </font>
    <font>
      <b/>
      <sz val="11"/>
      <color indexed="81"/>
      <name val="Tahoma"/>
      <family val="2"/>
    </font>
    <font>
      <b/>
      <sz val="12"/>
      <color indexed="81"/>
      <name val="Tahoma"/>
      <family val="2"/>
    </font>
    <font>
      <b/>
      <sz val="12"/>
      <color indexed="81"/>
      <name val="Arial"/>
      <family val="2"/>
    </font>
    <font>
      <sz val="12"/>
      <color indexed="81"/>
      <name val="Arial"/>
      <family val="2"/>
    </font>
    <font>
      <sz val="9"/>
      <name val="Arial"/>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8" fontId="1" fillId="0" borderId="0" applyFont="0" applyFill="0" applyBorder="0" applyAlignment="0" applyProtection="0"/>
    <xf numFmtId="167"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cellStyleXfs>
  <cellXfs count="241">
    <xf numFmtId="0" fontId="0" fillId="0" borderId="0" xfId="0"/>
    <xf numFmtId="0" fontId="3" fillId="0" borderId="0" xfId="0" applyFont="1"/>
    <xf numFmtId="0" fontId="2" fillId="0" borderId="0" xfId="0" applyFont="1"/>
    <xf numFmtId="172" fontId="2" fillId="0" borderId="0" xfId="0" applyNumberFormat="1" applyFont="1"/>
    <xf numFmtId="0" fontId="3" fillId="0" borderId="0" xfId="0" applyFont="1" applyProtection="1"/>
    <xf numFmtId="0" fontId="3" fillId="0" borderId="0" xfId="0" applyFont="1" applyAlignment="1" applyProtection="1">
      <alignment horizontal="center"/>
    </xf>
    <xf numFmtId="175" fontId="2" fillId="0" borderId="0" xfId="0" applyNumberFormat="1" applyFont="1"/>
    <xf numFmtId="0" fontId="3" fillId="0" borderId="0" xfId="0" applyFont="1" applyAlignment="1" applyProtection="1">
      <alignment horizontal="left"/>
    </xf>
    <xf numFmtId="172" fontId="3" fillId="0" borderId="0" xfId="0" applyNumberFormat="1" applyFont="1" applyAlignment="1" applyProtection="1">
      <alignment horizontal="center"/>
    </xf>
    <xf numFmtId="37" fontId="3" fillId="0" borderId="0" xfId="0" applyNumberFormat="1" applyFont="1" applyProtection="1"/>
    <xf numFmtId="169" fontId="3" fillId="0" borderId="0" xfId="0" applyNumberFormat="1" applyFont="1" applyProtection="1"/>
    <xf numFmtId="37" fontId="2" fillId="0" borderId="0" xfId="0" applyNumberFormat="1" applyFont="1"/>
    <xf numFmtId="165" fontId="2" fillId="0" borderId="0" xfId="0" applyNumberFormat="1" applyFont="1"/>
    <xf numFmtId="1" fontId="2" fillId="0" borderId="0" xfId="0" applyNumberFormat="1" applyFont="1"/>
    <xf numFmtId="176" fontId="2" fillId="0" borderId="0" xfId="0" applyNumberFormat="1" applyFont="1"/>
    <xf numFmtId="172" fontId="3" fillId="0" borderId="0" xfId="0" applyNumberFormat="1" applyFont="1" applyProtection="1"/>
    <xf numFmtId="164" fontId="3" fillId="0" borderId="0" xfId="0" applyNumberFormat="1" applyFont="1" applyProtection="1"/>
    <xf numFmtId="170" fontId="2" fillId="0" borderId="0" xfId="0" applyNumberFormat="1" applyFont="1"/>
    <xf numFmtId="0" fontId="3" fillId="0" borderId="0" xfId="0" applyFont="1" applyAlignment="1" applyProtection="1">
      <alignment horizontal="right"/>
    </xf>
    <xf numFmtId="169" fontId="3" fillId="0" borderId="0" xfId="0" applyNumberFormat="1" applyFont="1" applyAlignment="1" applyProtection="1">
      <alignment horizontal="center"/>
    </xf>
    <xf numFmtId="0" fontId="5" fillId="0" borderId="0" xfId="0" applyFont="1"/>
    <xf numFmtId="172" fontId="5" fillId="0" borderId="0" xfId="0" applyNumberFormat="1" applyFont="1" applyProtection="1"/>
    <xf numFmtId="0" fontId="5" fillId="0" borderId="0" xfId="0" applyFont="1" applyProtection="1"/>
    <xf numFmtId="37" fontId="5" fillId="0" borderId="0" xfId="0" applyNumberFormat="1" applyFont="1" applyProtection="1"/>
    <xf numFmtId="169" fontId="5" fillId="0" borderId="0" xfId="0" applyNumberFormat="1" applyFont="1" applyProtection="1"/>
    <xf numFmtId="169" fontId="2" fillId="0" borderId="0" xfId="0" applyNumberFormat="1" applyFont="1"/>
    <xf numFmtId="0" fontId="7" fillId="0" borderId="0" xfId="0" applyFont="1" applyFill="1" applyBorder="1"/>
    <xf numFmtId="0" fontId="3" fillId="0" borderId="0" xfId="0" applyFont="1" applyFill="1" applyBorder="1"/>
    <xf numFmtId="164" fontId="7" fillId="0" borderId="0"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177" fontId="7" fillId="0" borderId="0" xfId="0" applyNumberFormat="1" applyFont="1" applyFill="1" applyBorder="1" applyAlignment="1">
      <alignment horizontal="center"/>
    </xf>
    <xf numFmtId="177" fontId="3" fillId="0" borderId="0" xfId="0" applyNumberFormat="1" applyFont="1" applyFill="1" applyBorder="1" applyAlignment="1">
      <alignment horizontal="center"/>
    </xf>
    <xf numFmtId="172" fontId="7" fillId="0" borderId="0" xfId="0" applyNumberFormat="1" applyFont="1" applyFill="1" applyBorder="1" applyAlignment="1" applyProtection="1">
      <alignment horizontal="center"/>
    </xf>
    <xf numFmtId="172" fontId="3" fillId="0" borderId="0" xfId="0" applyNumberFormat="1" applyFont="1" applyFill="1" applyBorder="1" applyAlignment="1" applyProtection="1">
      <alignment horizontal="center"/>
    </xf>
    <xf numFmtId="172" fontId="7" fillId="0" borderId="0" xfId="0" applyNumberFormat="1" applyFont="1" applyFill="1" applyBorder="1" applyProtection="1"/>
    <xf numFmtId="172" fontId="3" fillId="0" borderId="0" xfId="0" applyNumberFormat="1" applyFont="1" applyFill="1" applyBorder="1" applyProtection="1"/>
    <xf numFmtId="173" fontId="7" fillId="0" borderId="0" xfId="0" applyNumberFormat="1" applyFont="1" applyFill="1" applyBorder="1" applyAlignment="1" applyProtection="1">
      <alignment horizontal="center"/>
    </xf>
    <xf numFmtId="173" fontId="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xf>
    <xf numFmtId="0" fontId="3" fillId="0" borderId="0" xfId="0" applyFont="1" applyFill="1" applyBorder="1" applyAlignment="1" applyProtection="1">
      <alignment horizontal="center"/>
    </xf>
    <xf numFmtId="170" fontId="7" fillId="0" borderId="0" xfId="0" applyNumberFormat="1" applyFont="1" applyFill="1" applyBorder="1" applyAlignment="1" applyProtection="1">
      <alignment horizontal="center"/>
    </xf>
    <xf numFmtId="170" fontId="3" fillId="0" borderId="0" xfId="0" applyNumberFormat="1" applyFont="1" applyFill="1" applyBorder="1" applyAlignment="1" applyProtection="1">
      <alignment horizontal="center"/>
    </xf>
    <xf numFmtId="0" fontId="7" fillId="0" borderId="0" xfId="0" applyFont="1" applyFill="1" applyBorder="1" applyAlignment="1" applyProtection="1">
      <alignment horizontal="fill"/>
    </xf>
    <xf numFmtId="0" fontId="3" fillId="0" borderId="0" xfId="0" applyFont="1" applyFill="1" applyBorder="1" applyAlignment="1" applyProtection="1">
      <alignment horizontal="fill"/>
    </xf>
    <xf numFmtId="0" fontId="7" fillId="0" borderId="0" xfId="0" applyFont="1" applyFill="1" applyBorder="1" applyAlignment="1">
      <alignment horizontal="center"/>
    </xf>
    <xf numFmtId="0" fontId="3" fillId="0" borderId="0" xfId="0" applyFont="1" applyFill="1" applyBorder="1" applyAlignment="1">
      <alignment horizontal="center"/>
    </xf>
    <xf numFmtId="0" fontId="7"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170" fontId="7" fillId="0" borderId="0" xfId="0" applyNumberFormat="1" applyFont="1" applyFill="1" applyBorder="1" applyAlignment="1" applyProtection="1">
      <alignment horizontal="center"/>
      <protection locked="0"/>
    </xf>
    <xf numFmtId="170" fontId="4" fillId="0" borderId="0" xfId="0" applyNumberFormat="1" applyFont="1" applyFill="1" applyBorder="1" applyAlignment="1" applyProtection="1">
      <alignment horizontal="center"/>
      <protection locked="0"/>
    </xf>
    <xf numFmtId="37" fontId="7" fillId="0" borderId="0" xfId="0" applyNumberFormat="1" applyFont="1" applyFill="1" applyBorder="1" applyProtection="1"/>
    <xf numFmtId="37" fontId="3" fillId="0" borderId="0" xfId="0" applyNumberFormat="1" applyFont="1" applyFill="1" applyBorder="1" applyProtection="1"/>
    <xf numFmtId="37" fontId="7" fillId="0" borderId="0" xfId="0" applyNumberFormat="1" applyFont="1" applyFill="1" applyBorder="1" applyAlignment="1" applyProtection="1">
      <alignment horizontal="center"/>
    </xf>
    <xf numFmtId="37" fontId="3" fillId="0" borderId="0" xfId="0" applyNumberFormat="1" applyFont="1" applyFill="1" applyBorder="1" applyAlignment="1" applyProtection="1">
      <alignment horizontal="center"/>
    </xf>
    <xf numFmtId="172" fontId="8" fillId="0" borderId="0" xfId="0" applyNumberFormat="1" applyFont="1" applyFill="1" applyBorder="1" applyProtection="1"/>
    <xf numFmtId="172" fontId="6" fillId="0" borderId="0" xfId="0" applyNumberFormat="1" applyFont="1" applyFill="1" applyBorder="1" applyProtection="1"/>
    <xf numFmtId="172" fontId="8" fillId="0" borderId="0" xfId="0" applyNumberFormat="1" applyFont="1" applyFill="1" applyBorder="1" applyAlignment="1" applyProtection="1">
      <alignment horizontal="center"/>
    </xf>
    <xf numFmtId="172" fontId="6" fillId="0" borderId="0" xfId="0" applyNumberFormat="1" applyFont="1" applyFill="1" applyBorder="1" applyAlignment="1" applyProtection="1">
      <alignment horizontal="center"/>
    </xf>
    <xf numFmtId="169" fontId="7" fillId="0" borderId="0" xfId="0" applyNumberFormat="1" applyFont="1" applyFill="1" applyBorder="1" applyAlignment="1" applyProtection="1">
      <alignment horizontal="left"/>
    </xf>
    <xf numFmtId="169" fontId="3" fillId="0" borderId="0" xfId="0" applyNumberFormat="1" applyFont="1" applyFill="1" applyBorder="1" applyAlignment="1" applyProtection="1">
      <alignment horizontal="left"/>
    </xf>
    <xf numFmtId="165" fontId="7" fillId="0" borderId="0" xfId="0" applyNumberFormat="1" applyFont="1" applyFill="1" applyBorder="1" applyAlignment="1" applyProtection="1">
      <alignment horizontal="center"/>
    </xf>
    <xf numFmtId="165" fontId="3" fillId="0" borderId="0" xfId="0" applyNumberFormat="1" applyFont="1" applyFill="1" applyBorder="1" applyAlignment="1" applyProtection="1">
      <alignment horizontal="center"/>
    </xf>
    <xf numFmtId="169" fontId="7" fillId="0" borderId="0" xfId="0" applyNumberFormat="1" applyFont="1" applyFill="1" applyBorder="1" applyAlignment="1" applyProtection="1">
      <alignment horizontal="center"/>
    </xf>
    <xf numFmtId="169" fontId="3" fillId="0" borderId="0" xfId="0" applyNumberFormat="1" applyFont="1" applyFill="1" applyBorder="1" applyAlignment="1" applyProtection="1">
      <alignment horizontal="center"/>
    </xf>
    <xf numFmtId="169" fontId="7" fillId="0" borderId="0" xfId="0" applyNumberFormat="1" applyFont="1" applyFill="1" applyBorder="1" applyProtection="1"/>
    <xf numFmtId="169" fontId="3" fillId="0" borderId="0" xfId="0" applyNumberFormat="1" applyFont="1" applyFill="1" applyBorder="1" applyProtection="1"/>
    <xf numFmtId="2" fontId="7"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7" fillId="0" borderId="0" xfId="0" applyFont="1" applyFill="1" applyBorder="1" applyAlignment="1" applyProtection="1">
      <alignment horizontal="left"/>
    </xf>
    <xf numFmtId="0" fontId="3" fillId="0" borderId="0" xfId="0" applyFont="1" applyFill="1" applyBorder="1" applyAlignment="1" applyProtection="1">
      <alignment horizontal="left"/>
    </xf>
    <xf numFmtId="172" fontId="5" fillId="0" borderId="0" xfId="0" applyNumberFormat="1" applyFont="1" applyFill="1" applyProtection="1"/>
    <xf numFmtId="0" fontId="5" fillId="0" borderId="0" xfId="0" applyFont="1" applyFill="1"/>
    <xf numFmtId="0" fontId="5" fillId="0" borderId="0" xfId="0" applyFont="1" applyFill="1" applyProtection="1"/>
    <xf numFmtId="170" fontId="5" fillId="0" borderId="0" xfId="0" applyNumberFormat="1" applyFont="1" applyFill="1" applyProtection="1"/>
    <xf numFmtId="169" fontId="5" fillId="0" borderId="0" xfId="0" applyNumberFormat="1" applyFont="1" applyFill="1" applyProtection="1"/>
    <xf numFmtId="37" fontId="5" fillId="0" borderId="0" xfId="0" applyNumberFormat="1" applyFont="1" applyFill="1" applyProtection="1"/>
    <xf numFmtId="0" fontId="2" fillId="0" borderId="0" xfId="0" applyFont="1" applyFill="1"/>
    <xf numFmtId="0" fontId="3" fillId="0" borderId="0" xfId="0" applyFont="1" applyFill="1" applyBorder="1" applyProtection="1"/>
    <xf numFmtId="172" fontId="4" fillId="0" borderId="0" xfId="0" applyNumberFormat="1" applyFont="1" applyFill="1" applyBorder="1" applyAlignment="1" applyProtection="1">
      <alignment horizontal="center"/>
    </xf>
    <xf numFmtId="37" fontId="3" fillId="0" borderId="0" xfId="0" quotePrefix="1" applyNumberFormat="1" applyFont="1" applyFill="1" applyBorder="1" applyAlignment="1" applyProtection="1">
      <alignment horizontal="center"/>
    </xf>
    <xf numFmtId="37" fontId="3" fillId="0" borderId="0" xfId="0" quotePrefix="1" applyNumberFormat="1" applyFont="1" applyFill="1" applyBorder="1" applyAlignment="1" applyProtection="1">
      <alignment horizontal="left"/>
    </xf>
    <xf numFmtId="0" fontId="3" fillId="0" borderId="0" xfId="0" quotePrefix="1" applyFont="1" applyFill="1" applyBorder="1" applyAlignment="1">
      <alignment horizontal="left"/>
    </xf>
    <xf numFmtId="178" fontId="3" fillId="0" borderId="0" xfId="1" applyNumberFormat="1" applyFont="1"/>
    <xf numFmtId="179" fontId="3" fillId="0" borderId="0" xfId="2" applyNumberFormat="1" applyFont="1"/>
    <xf numFmtId="37" fontId="7" fillId="0" borderId="0" xfId="0" applyNumberFormat="1" applyFont="1" applyFill="1" applyBorder="1"/>
    <xf numFmtId="0" fontId="12" fillId="0" borderId="0" xfId="4" applyFont="1"/>
    <xf numFmtId="0" fontId="13" fillId="0" borderId="0" xfId="0" applyFont="1"/>
    <xf numFmtId="0" fontId="14" fillId="2" borderId="1" xfId="0" applyFont="1" applyFill="1" applyBorder="1" applyAlignment="1" applyProtection="1">
      <alignment horizontal="left"/>
    </xf>
    <xf numFmtId="0" fontId="14" fillId="2" borderId="2" xfId="0" applyFont="1" applyFill="1" applyBorder="1"/>
    <xf numFmtId="0" fontId="14" fillId="2" borderId="2" xfId="0" applyFont="1" applyFill="1" applyBorder="1" applyAlignment="1" applyProtection="1">
      <alignment horizontal="left"/>
    </xf>
    <xf numFmtId="0" fontId="12" fillId="2" borderId="2" xfId="0" quotePrefix="1" applyFont="1" applyFill="1" applyBorder="1" applyAlignment="1" applyProtection="1">
      <alignment horizontal="left"/>
    </xf>
    <xf numFmtId="0" fontId="14" fillId="2" borderId="3" xfId="0" applyFont="1" applyFill="1" applyBorder="1"/>
    <xf numFmtId="169" fontId="14" fillId="2" borderId="4" xfId="0" applyNumberFormat="1" applyFont="1" applyFill="1" applyBorder="1" applyProtection="1"/>
    <xf numFmtId="0" fontId="14" fillId="2" borderId="0" xfId="0" applyFont="1" applyFill="1" applyBorder="1"/>
    <xf numFmtId="0" fontId="14" fillId="2" borderId="0" xfId="0" applyFont="1" applyFill="1" applyBorder="1" applyAlignment="1" applyProtection="1">
      <alignment horizontal="left"/>
    </xf>
    <xf numFmtId="165" fontId="14" fillId="2" borderId="0" xfId="0" applyNumberFormat="1" applyFont="1" applyFill="1" applyBorder="1" applyProtection="1"/>
    <xf numFmtId="164" fontId="14" fillId="2" borderId="5" xfId="0" applyNumberFormat="1" applyFont="1" applyFill="1" applyBorder="1" applyAlignment="1" applyProtection="1">
      <alignment horizontal="center"/>
    </xf>
    <xf numFmtId="0" fontId="14" fillId="2" borderId="4" xfId="0" applyFont="1" applyFill="1" applyBorder="1" applyAlignment="1" applyProtection="1">
      <alignment horizontal="left"/>
    </xf>
    <xf numFmtId="0" fontId="15" fillId="3" borderId="6" xfId="0" applyFont="1" applyFill="1" applyBorder="1" applyAlignment="1" applyProtection="1">
      <alignment horizontal="center"/>
      <protection locked="0"/>
    </xf>
    <xf numFmtId="0" fontId="14" fillId="2" borderId="0" xfId="0" applyFont="1" applyFill="1" applyBorder="1" applyAlignment="1">
      <alignment horizontal="center"/>
    </xf>
    <xf numFmtId="169" fontId="14" fillId="2" borderId="0" xfId="0" applyNumberFormat="1" applyFont="1" applyFill="1" applyBorder="1" applyProtection="1"/>
    <xf numFmtId="177" fontId="14" fillId="2" borderId="5" xfId="0" applyNumberFormat="1" applyFont="1" applyFill="1" applyBorder="1" applyAlignment="1">
      <alignment horizontal="center"/>
    </xf>
    <xf numFmtId="0" fontId="14" fillId="2" borderId="4" xfId="0" applyFont="1" applyFill="1" applyBorder="1" applyProtection="1"/>
    <xf numFmtId="0" fontId="14" fillId="2" borderId="0" xfId="0" applyFont="1" applyFill="1" applyBorder="1" applyProtection="1"/>
    <xf numFmtId="0" fontId="14" fillId="2" borderId="5" xfId="0" applyFont="1" applyFill="1" applyBorder="1"/>
    <xf numFmtId="0" fontId="14" fillId="2" borderId="0" xfId="0" applyFont="1" applyFill="1" applyBorder="1" applyAlignment="1" applyProtection="1">
      <alignment horizontal="center"/>
    </xf>
    <xf numFmtId="172" fontId="14" fillId="2" borderId="5" xfId="0" applyNumberFormat="1" applyFont="1" applyFill="1" applyBorder="1" applyAlignment="1" applyProtection="1">
      <alignment horizontal="center"/>
    </xf>
    <xf numFmtId="172" fontId="14" fillId="2" borderId="5" xfId="0" applyNumberFormat="1" applyFont="1" applyFill="1" applyBorder="1" applyProtection="1"/>
    <xf numFmtId="172" fontId="14" fillId="2" borderId="0" xfId="0" applyNumberFormat="1" applyFont="1" applyFill="1" applyBorder="1" applyProtection="1"/>
    <xf numFmtId="165" fontId="15" fillId="3" borderId="6" xfId="0" applyNumberFormat="1" applyFont="1" applyFill="1" applyBorder="1" applyAlignment="1" applyProtection="1">
      <alignment horizontal="center"/>
      <protection locked="0"/>
    </xf>
    <xf numFmtId="173" fontId="14" fillId="2" borderId="5" xfId="0" applyNumberFormat="1" applyFont="1" applyFill="1" applyBorder="1" applyAlignment="1" applyProtection="1">
      <alignment horizontal="center"/>
    </xf>
    <xf numFmtId="0" fontId="14" fillId="2" borderId="4" xfId="0" applyFont="1" applyFill="1" applyBorder="1"/>
    <xf numFmtId="170" fontId="14" fillId="2" borderId="0" xfId="0" applyNumberFormat="1" applyFont="1" applyFill="1" applyBorder="1" applyProtection="1"/>
    <xf numFmtId="174" fontId="14" fillId="2" borderId="0" xfId="0" applyNumberFormat="1" applyFont="1" applyFill="1" applyBorder="1" applyAlignment="1" applyProtection="1">
      <alignment horizontal="center"/>
    </xf>
    <xf numFmtId="0" fontId="14" fillId="2" borderId="0" xfId="0" quotePrefix="1" applyFont="1" applyFill="1" applyBorder="1" applyAlignment="1">
      <alignment horizontal="left"/>
    </xf>
    <xf numFmtId="176" fontId="15" fillId="5" borderId="0" xfId="0" applyNumberFormat="1" applyFont="1" applyFill="1" applyBorder="1" applyAlignment="1" applyProtection="1">
      <alignment horizontal="center"/>
      <protection locked="0"/>
    </xf>
    <xf numFmtId="174" fontId="14" fillId="2" borderId="0" xfId="0" applyNumberFormat="1" applyFont="1" applyFill="1" applyBorder="1" applyProtection="1"/>
    <xf numFmtId="10" fontId="14" fillId="2" borderId="0" xfId="0" applyNumberFormat="1" applyFont="1" applyFill="1" applyBorder="1" applyProtection="1"/>
    <xf numFmtId="165" fontId="15" fillId="5" borderId="0" xfId="0" applyNumberFormat="1" applyFont="1" applyFill="1" applyBorder="1" applyAlignment="1" applyProtection="1">
      <alignment horizontal="center"/>
      <protection locked="0"/>
    </xf>
    <xf numFmtId="170" fontId="14" fillId="2" borderId="0" xfId="0" applyNumberFormat="1" applyFont="1" applyFill="1" applyBorder="1" applyAlignment="1" applyProtection="1">
      <alignment horizontal="center"/>
    </xf>
    <xf numFmtId="0" fontId="14" fillId="2" borderId="5" xfId="0" applyFont="1" applyFill="1" applyBorder="1" applyAlignment="1" applyProtection="1">
      <alignment horizontal="center"/>
    </xf>
    <xf numFmtId="165" fontId="15" fillId="5" borderId="2" xfId="0" applyNumberFormat="1" applyFont="1"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172" fontId="15" fillId="2" borderId="0" xfId="0" applyNumberFormat="1" applyFont="1" applyFill="1" applyBorder="1" applyProtection="1"/>
    <xf numFmtId="170" fontId="14" fillId="2" borderId="5" xfId="0" applyNumberFormat="1" applyFont="1" applyFill="1" applyBorder="1" applyAlignment="1" applyProtection="1">
      <alignment horizontal="center"/>
    </xf>
    <xf numFmtId="175" fontId="14" fillId="2" borderId="0" xfId="0" applyNumberFormat="1" applyFont="1" applyFill="1" applyBorder="1" applyProtection="1"/>
    <xf numFmtId="173" fontId="14" fillId="2" borderId="0" xfId="0" applyNumberFormat="1" applyFont="1" applyFill="1" applyBorder="1" applyProtection="1"/>
    <xf numFmtId="0" fontId="15" fillId="4" borderId="8" xfId="0" applyFont="1" applyFill="1" applyBorder="1" applyAlignment="1" applyProtection="1"/>
    <xf numFmtId="0" fontId="14" fillId="4" borderId="8" xfId="0" applyFont="1" applyFill="1" applyBorder="1" applyAlignment="1" applyProtection="1">
      <alignment horizontal="fill"/>
    </xf>
    <xf numFmtId="0" fontId="14" fillId="2" borderId="0" xfId="0" applyFont="1" applyFill="1" applyBorder="1" applyAlignment="1"/>
    <xf numFmtId="0" fontId="14" fillId="2" borderId="4" xfId="0" quotePrefix="1" applyFont="1" applyFill="1" applyBorder="1" applyAlignment="1" applyProtection="1">
      <alignment horizontal="left"/>
    </xf>
    <xf numFmtId="172" fontId="15" fillId="3" borderId="6" xfId="0" applyNumberFormat="1" applyFont="1" applyFill="1" applyBorder="1" applyAlignment="1" applyProtection="1">
      <alignment horizontal="center"/>
      <protection locked="0"/>
    </xf>
    <xf numFmtId="170" fontId="15" fillId="3" borderId="6" xfId="0" applyNumberFormat="1" applyFont="1" applyFill="1" applyBorder="1" applyAlignment="1" applyProtection="1">
      <alignment horizontal="center"/>
      <protection locked="0"/>
    </xf>
    <xf numFmtId="39" fontId="14" fillId="2" borderId="0" xfId="0" applyNumberFormat="1" applyFont="1" applyFill="1" applyBorder="1" applyProtection="1"/>
    <xf numFmtId="37" fontId="14" fillId="2" borderId="0" xfId="0" applyNumberFormat="1" applyFont="1" applyFill="1" applyBorder="1" applyProtection="1"/>
    <xf numFmtId="37" fontId="14" fillId="2" borderId="5" xfId="0" applyNumberFormat="1" applyFont="1" applyFill="1" applyBorder="1" applyProtection="1"/>
    <xf numFmtId="0" fontId="14" fillId="2" borderId="4" xfId="0" applyFont="1" applyFill="1" applyBorder="1" applyAlignment="1" applyProtection="1">
      <alignment horizontal="center"/>
    </xf>
    <xf numFmtId="1" fontId="14" fillId="2" borderId="4" xfId="0" applyNumberFormat="1" applyFont="1" applyFill="1" applyBorder="1" applyAlignment="1" applyProtection="1">
      <alignment horizontal="center"/>
    </xf>
    <xf numFmtId="39" fontId="14" fillId="2" borderId="0" xfId="0" applyNumberFormat="1" applyFont="1" applyFill="1" applyBorder="1" applyAlignment="1" applyProtection="1">
      <alignment horizontal="center"/>
    </xf>
    <xf numFmtId="37" fontId="14" fillId="2" borderId="0" xfId="0" applyNumberFormat="1" applyFont="1" applyFill="1" applyBorder="1" applyAlignment="1" applyProtection="1">
      <alignment horizontal="center"/>
    </xf>
    <xf numFmtId="175" fontId="14" fillId="2" borderId="0" xfId="0" applyNumberFormat="1" applyFont="1" applyFill="1" applyBorder="1" applyAlignment="1" applyProtection="1">
      <alignment horizontal="center"/>
    </xf>
    <xf numFmtId="37" fontId="14" fillId="2" borderId="5" xfId="0" applyNumberFormat="1" applyFont="1" applyFill="1" applyBorder="1" applyAlignment="1" applyProtection="1">
      <alignment horizontal="center"/>
    </xf>
    <xf numFmtId="1" fontId="14" fillId="2" borderId="4" xfId="0" applyNumberFormat="1" applyFont="1" applyFill="1" applyBorder="1"/>
    <xf numFmtId="1" fontId="14" fillId="2" borderId="4" xfId="0" applyNumberFormat="1" applyFont="1" applyFill="1" applyBorder="1" applyAlignment="1" applyProtection="1">
      <alignment horizontal="left"/>
    </xf>
    <xf numFmtId="172" fontId="14" fillId="2" borderId="0" xfId="0" applyNumberFormat="1" applyFont="1" applyFill="1" applyBorder="1" applyAlignment="1" applyProtection="1">
      <alignment horizontal="center"/>
    </xf>
    <xf numFmtId="0" fontId="14" fillId="2" borderId="4" xfId="0" quotePrefix="1" applyFont="1" applyFill="1" applyBorder="1" applyAlignment="1">
      <alignment horizontal="left"/>
    </xf>
    <xf numFmtId="2" fontId="14" fillId="2" borderId="0" xfId="0" applyNumberFormat="1" applyFont="1" applyFill="1" applyBorder="1" applyAlignment="1" applyProtection="1">
      <alignment horizontal="center"/>
    </xf>
    <xf numFmtId="170" fontId="14" fillId="2" borderId="0" xfId="0" quotePrefix="1" applyNumberFormat="1" applyFont="1" applyFill="1" applyBorder="1" applyAlignment="1" applyProtection="1">
      <alignment horizontal="left"/>
    </xf>
    <xf numFmtId="180" fontId="14" fillId="2" borderId="0" xfId="0" applyNumberFormat="1" applyFont="1" applyFill="1" applyBorder="1" applyAlignment="1" applyProtection="1">
      <alignment horizontal="center"/>
    </xf>
    <xf numFmtId="165" fontId="14" fillId="2" borderId="0" xfId="0" applyNumberFormat="1" applyFont="1" applyFill="1" applyBorder="1" applyAlignment="1" applyProtection="1">
      <alignment horizontal="center"/>
    </xf>
    <xf numFmtId="176" fontId="14" fillId="2" borderId="0" xfId="0" applyNumberFormat="1" applyFont="1" applyFill="1" applyBorder="1" applyAlignment="1" applyProtection="1">
      <alignment horizontal="center"/>
    </xf>
    <xf numFmtId="164" fontId="14" fillId="2" borderId="0" xfId="0" applyNumberFormat="1" applyFont="1" applyFill="1" applyBorder="1" applyProtection="1"/>
    <xf numFmtId="0" fontId="14" fillId="2" borderId="5" xfId="0" applyFont="1" applyFill="1" applyBorder="1" applyProtection="1"/>
    <xf numFmtId="0" fontId="15" fillId="5" borderId="4" xfId="0" applyFont="1" applyFill="1" applyBorder="1" applyAlignment="1" applyProtection="1">
      <alignment horizontal="left"/>
      <protection locked="0"/>
    </xf>
    <xf numFmtId="0" fontId="15" fillId="5" borderId="0" xfId="0" applyFont="1" applyFill="1" applyBorder="1" applyAlignment="1" applyProtection="1">
      <alignment horizontal="left"/>
      <protection locked="0"/>
    </xf>
    <xf numFmtId="0" fontId="14" fillId="2" borderId="0" xfId="0" applyFont="1" applyFill="1" applyBorder="1" applyAlignment="1" applyProtection="1">
      <alignment horizontal="fill"/>
    </xf>
    <xf numFmtId="0" fontId="15" fillId="3" borderId="7" xfId="0" applyFont="1" applyFill="1" applyBorder="1" applyAlignment="1" applyProtection="1">
      <alignment horizontal="center"/>
      <protection locked="0"/>
    </xf>
    <xf numFmtId="171" fontId="14" fillId="2" borderId="0" xfId="0" applyNumberFormat="1" applyFont="1" applyFill="1" applyBorder="1" applyProtection="1"/>
    <xf numFmtId="0" fontId="16" fillId="2" borderId="4" xfId="0" applyFont="1" applyFill="1" applyBorder="1" applyAlignment="1" applyProtection="1">
      <alignment horizontal="left"/>
    </xf>
    <xf numFmtId="0" fontId="16" fillId="2" borderId="0" xfId="0" applyFont="1" applyFill="1" applyBorder="1"/>
    <xf numFmtId="170" fontId="16" fillId="2" borderId="0" xfId="0" applyNumberFormat="1" applyFont="1" applyFill="1" applyBorder="1" applyProtection="1"/>
    <xf numFmtId="172" fontId="16" fillId="2" borderId="5" xfId="0" applyNumberFormat="1" applyFont="1" applyFill="1" applyBorder="1" applyProtection="1"/>
    <xf numFmtId="0" fontId="16" fillId="2" borderId="0" xfId="0" applyFont="1" applyFill="1" applyBorder="1" applyProtection="1"/>
    <xf numFmtId="0" fontId="16" fillId="2" borderId="0" xfId="0" applyFont="1" applyFill="1" applyBorder="1" applyAlignment="1" applyProtection="1">
      <alignment horizontal="center"/>
    </xf>
    <xf numFmtId="172" fontId="16" fillId="2" borderId="0" xfId="0" applyNumberFormat="1" applyFont="1" applyFill="1" applyBorder="1" applyAlignment="1" applyProtection="1">
      <alignment horizontal="center"/>
    </xf>
    <xf numFmtId="170" fontId="16" fillId="2" borderId="0" xfId="0" applyNumberFormat="1" applyFont="1" applyFill="1" applyBorder="1" applyAlignment="1" applyProtection="1">
      <alignment horizontal="center"/>
    </xf>
    <xf numFmtId="172" fontId="16" fillId="2" borderId="5" xfId="0" applyNumberFormat="1" applyFont="1" applyFill="1" applyBorder="1" applyAlignment="1" applyProtection="1">
      <alignment horizontal="center"/>
    </xf>
    <xf numFmtId="0" fontId="15" fillId="2" borderId="0" xfId="0" applyFont="1" applyFill="1" applyBorder="1"/>
    <xf numFmtId="166" fontId="15" fillId="3" borderId="6" xfId="0" applyNumberFormat="1" applyFont="1" applyFill="1" applyBorder="1" applyAlignment="1" applyProtection="1">
      <alignment horizontal="center"/>
      <protection locked="0"/>
    </xf>
    <xf numFmtId="166" fontId="15" fillId="5" borderId="8" xfId="0" applyNumberFormat="1" applyFont="1" applyFill="1" applyBorder="1" applyAlignment="1" applyProtection="1">
      <alignment horizontal="center"/>
      <protection locked="0"/>
    </xf>
    <xf numFmtId="166" fontId="14" fillId="2" borderId="0" xfId="0" applyNumberFormat="1" applyFont="1" applyFill="1" applyBorder="1" applyAlignment="1">
      <alignment horizontal="center"/>
    </xf>
    <xf numFmtId="166" fontId="15" fillId="3" borderId="7" xfId="0" applyNumberFormat="1" applyFont="1" applyFill="1" applyBorder="1" applyAlignment="1" applyProtection="1">
      <alignment horizontal="center"/>
      <protection locked="0"/>
    </xf>
    <xf numFmtId="173" fontId="15" fillId="3" borderId="6" xfId="0" applyNumberFormat="1" applyFont="1" applyFill="1" applyBorder="1" applyAlignment="1" applyProtection="1">
      <alignment horizontal="center"/>
      <protection locked="0"/>
    </xf>
    <xf numFmtId="169" fontId="14" fillId="2" borderId="5" xfId="0" applyNumberFormat="1" applyFont="1" applyFill="1" applyBorder="1" applyAlignment="1" applyProtection="1">
      <alignment horizontal="left"/>
    </xf>
    <xf numFmtId="165" fontId="14" fillId="2" borderId="5" xfId="0" applyNumberFormat="1" applyFont="1" applyFill="1" applyBorder="1" applyAlignment="1" applyProtection="1">
      <alignment horizontal="center"/>
    </xf>
    <xf numFmtId="169" fontId="14" fillId="2" borderId="0" xfId="0" applyNumberFormat="1" applyFont="1" applyFill="1" applyBorder="1" applyAlignment="1" applyProtection="1">
      <alignment horizontal="left"/>
    </xf>
    <xf numFmtId="169" fontId="14" fillId="2" borderId="5" xfId="0" applyNumberFormat="1" applyFont="1" applyFill="1" applyBorder="1" applyAlignment="1" applyProtection="1">
      <alignment horizontal="center"/>
    </xf>
    <xf numFmtId="9" fontId="14" fillId="2" borderId="0" xfId="0" applyNumberFormat="1" applyFont="1" applyFill="1" applyBorder="1" applyAlignment="1" applyProtection="1">
      <alignment horizontal="center"/>
    </xf>
    <xf numFmtId="169" fontId="14" fillId="2" borderId="5" xfId="0" applyNumberFormat="1" applyFont="1" applyFill="1" applyBorder="1" applyProtection="1"/>
    <xf numFmtId="10" fontId="15" fillId="3" borderId="6" xfId="0" applyNumberFormat="1" applyFont="1" applyFill="1" applyBorder="1" applyAlignment="1" applyProtection="1">
      <alignment horizontal="center"/>
      <protection locked="0"/>
    </xf>
    <xf numFmtId="164" fontId="15" fillId="3" borderId="6" xfId="0" applyNumberFormat="1" applyFont="1" applyFill="1" applyBorder="1" applyAlignment="1" applyProtection="1">
      <alignment horizontal="center"/>
      <protection locked="0"/>
    </xf>
    <xf numFmtId="2" fontId="14" fillId="2" borderId="5" xfId="0" applyNumberFormat="1" applyFont="1" applyFill="1" applyBorder="1" applyAlignment="1">
      <alignment horizontal="center"/>
    </xf>
    <xf numFmtId="0" fontId="14" fillId="2" borderId="5" xfId="0" applyFont="1" applyFill="1" applyBorder="1" applyAlignment="1" applyProtection="1">
      <alignment horizontal="left"/>
    </xf>
    <xf numFmtId="0" fontId="14" fillId="2" borderId="10" xfId="0" applyFont="1" applyFill="1" applyBorder="1"/>
    <xf numFmtId="0" fontId="15" fillId="5" borderId="9" xfId="0" applyFont="1" applyFill="1" applyBorder="1" applyAlignment="1" applyProtection="1">
      <alignment horizontal="center"/>
      <protection locked="0"/>
    </xf>
    <xf numFmtId="0" fontId="13" fillId="0" borderId="1" xfId="0" applyFont="1" applyBorder="1"/>
    <xf numFmtId="0" fontId="14" fillId="4" borderId="2" xfId="0" applyFont="1" applyFill="1" applyBorder="1" applyAlignment="1" applyProtection="1">
      <alignment horizontal="fill"/>
    </xf>
    <xf numFmtId="0" fontId="14" fillId="4" borderId="3" xfId="0" applyFont="1" applyFill="1" applyBorder="1" applyAlignment="1" applyProtection="1">
      <alignment horizontal="fill"/>
    </xf>
    <xf numFmtId="0" fontId="14" fillId="4" borderId="4" xfId="0" quotePrefix="1" applyFont="1" applyFill="1" applyBorder="1" applyAlignment="1">
      <alignment horizontal="left"/>
    </xf>
    <xf numFmtId="0" fontId="14" fillId="4" borderId="0" xfId="0" applyFont="1" applyFill="1" applyBorder="1"/>
    <xf numFmtId="0" fontId="14" fillId="4" borderId="4" xfId="0" quotePrefix="1" applyFont="1" applyFill="1" applyBorder="1" applyAlignment="1">
      <alignment horizontal="center"/>
    </xf>
    <xf numFmtId="0" fontId="14" fillId="4" borderId="5" xfId="0" applyFont="1" applyFill="1" applyBorder="1"/>
    <xf numFmtId="0" fontId="14" fillId="4" borderId="4" xfId="0" applyFont="1" applyFill="1" applyBorder="1"/>
    <xf numFmtId="0" fontId="14" fillId="4" borderId="4" xfId="0" quotePrefix="1" applyFont="1" applyFill="1" applyBorder="1" applyAlignment="1" applyProtection="1">
      <alignment horizontal="center"/>
    </xf>
    <xf numFmtId="9" fontId="14" fillId="4" borderId="0" xfId="0" applyNumberFormat="1" applyFont="1" applyFill="1" applyBorder="1" applyProtection="1"/>
    <xf numFmtId="0" fontId="13" fillId="0" borderId="4" xfId="0" applyFont="1" applyBorder="1"/>
    <xf numFmtId="0" fontId="17" fillId="4" borderId="4" xfId="3" applyFont="1" applyFill="1" applyBorder="1" applyAlignment="1" applyProtection="1">
      <alignment horizontal="center"/>
    </xf>
    <xf numFmtId="0" fontId="14" fillId="4" borderId="0" xfId="0" applyFont="1" applyFill="1" applyBorder="1" applyAlignment="1" applyProtection="1">
      <alignment horizontal="center"/>
    </xf>
    <xf numFmtId="0" fontId="14" fillId="4" borderId="10" xfId="0" applyFont="1" applyFill="1" applyBorder="1"/>
    <xf numFmtId="0" fontId="14" fillId="4" borderId="9" xfId="0" applyFont="1" applyFill="1" applyBorder="1"/>
    <xf numFmtId="9" fontId="14" fillId="4" borderId="9" xfId="0" applyNumberFormat="1" applyFont="1" applyFill="1" applyBorder="1" applyProtection="1"/>
    <xf numFmtId="172" fontId="14" fillId="4" borderId="9" xfId="0" applyNumberFormat="1" applyFont="1" applyFill="1" applyBorder="1" applyProtection="1"/>
    <xf numFmtId="172" fontId="14" fillId="4" borderId="11" xfId="0" applyNumberFormat="1" applyFont="1" applyFill="1" applyBorder="1" applyProtection="1"/>
    <xf numFmtId="172" fontId="14" fillId="4" borderId="0" xfId="0" applyNumberFormat="1" applyFont="1" applyFill="1" applyBorder="1" applyProtection="1"/>
    <xf numFmtId="0" fontId="18" fillId="0" borderId="0" xfId="0" applyFont="1"/>
    <xf numFmtId="172" fontId="18" fillId="0" borderId="0" xfId="0" applyNumberFormat="1" applyFont="1" applyProtection="1"/>
    <xf numFmtId="0" fontId="18" fillId="0" borderId="0" xfId="0" applyFont="1" applyProtection="1"/>
    <xf numFmtId="170" fontId="18" fillId="0" borderId="0" xfId="0" applyNumberFormat="1" applyFont="1" applyProtection="1"/>
    <xf numFmtId="165" fontId="18" fillId="0" borderId="0" xfId="0" applyNumberFormat="1" applyFont="1" applyProtection="1"/>
    <xf numFmtId="175" fontId="18" fillId="0" borderId="0" xfId="0" applyNumberFormat="1" applyFont="1" applyProtection="1"/>
    <xf numFmtId="173" fontId="18" fillId="0" borderId="0" xfId="0" applyNumberFormat="1" applyFont="1" applyProtection="1"/>
    <xf numFmtId="39" fontId="18" fillId="0" borderId="0" xfId="0" applyNumberFormat="1" applyFont="1" applyProtection="1"/>
    <xf numFmtId="169" fontId="18" fillId="0" borderId="0" xfId="0" applyNumberFormat="1" applyFont="1" applyProtection="1"/>
    <xf numFmtId="10" fontId="18" fillId="0" borderId="0" xfId="0" applyNumberFormat="1" applyFont="1" applyProtection="1"/>
    <xf numFmtId="9" fontId="18" fillId="0" borderId="0" xfId="0" applyNumberFormat="1" applyFont="1" applyProtection="1"/>
    <xf numFmtId="37" fontId="18" fillId="0" borderId="0" xfId="0" applyNumberFormat="1" applyFont="1" applyProtection="1"/>
    <xf numFmtId="1" fontId="14" fillId="2" borderId="0" xfId="0" applyNumberFormat="1" applyFont="1" applyFill="1" applyBorder="1" applyAlignment="1" applyProtection="1">
      <alignment horizontal="center"/>
    </xf>
    <xf numFmtId="0" fontId="14" fillId="2" borderId="9" xfId="0" applyFont="1" applyFill="1" applyBorder="1" applyAlignment="1" applyProtection="1">
      <alignment horizontal="center"/>
    </xf>
    <xf numFmtId="0" fontId="12" fillId="5" borderId="0" xfId="0" applyFont="1" applyFill="1" applyBorder="1" applyAlignment="1" applyProtection="1">
      <alignment horizontal="right"/>
    </xf>
    <xf numFmtId="170" fontId="12" fillId="5" borderId="5" xfId="0" applyNumberFormat="1" applyFont="1" applyFill="1" applyBorder="1" applyAlignment="1" applyProtection="1">
      <alignment horizontal="center"/>
    </xf>
    <xf numFmtId="2" fontId="23" fillId="0" borderId="0" xfId="0" applyNumberFormat="1" applyFont="1" applyProtection="1"/>
    <xf numFmtId="0" fontId="12" fillId="5" borderId="0" xfId="0" applyFont="1" applyFill="1" applyBorder="1" applyAlignment="1" applyProtection="1">
      <alignment horizontal="left"/>
    </xf>
    <xf numFmtId="0" fontId="14" fillId="2" borderId="9" xfId="0" applyFont="1" applyFill="1" applyBorder="1" applyAlignment="1">
      <alignment horizontal="center"/>
    </xf>
    <xf numFmtId="170" fontId="14" fillId="2" borderId="9" xfId="0" applyNumberFormat="1" applyFont="1" applyFill="1" applyBorder="1" applyProtection="1"/>
    <xf numFmtId="172" fontId="14" fillId="2" borderId="9" xfId="0" applyNumberFormat="1" applyFont="1" applyFill="1" applyBorder="1" applyProtection="1"/>
    <xf numFmtId="172" fontId="14" fillId="2" borderId="11" xfId="0" applyNumberFormat="1" applyFont="1" applyFill="1" applyBorder="1" applyProtection="1"/>
    <xf numFmtId="0" fontId="14" fillId="2" borderId="1" xfId="0" applyFont="1" applyFill="1" applyBorder="1"/>
    <xf numFmtId="0" fontId="14" fillId="2" borderId="2" xfId="0" applyFont="1" applyFill="1" applyBorder="1" applyProtection="1"/>
    <xf numFmtId="0" fontId="14" fillId="2" borderId="10" xfId="0" applyFont="1" applyFill="1" applyBorder="1" applyAlignment="1" applyProtection="1">
      <alignment horizontal="left"/>
    </xf>
    <xf numFmtId="0" fontId="14" fillId="2" borderId="9" xfId="0" applyFont="1" applyFill="1" applyBorder="1"/>
    <xf numFmtId="0" fontId="14" fillId="2" borderId="9" xfId="0" applyFont="1" applyFill="1" applyBorder="1" applyProtection="1"/>
    <xf numFmtId="1" fontId="14" fillId="2" borderId="9" xfId="0" applyNumberFormat="1" applyFont="1" applyFill="1" applyBorder="1" applyAlignment="1" applyProtection="1">
      <alignment horizontal="center"/>
    </xf>
    <xf numFmtId="1" fontId="14" fillId="2" borderId="11" xfId="0" applyNumberFormat="1" applyFont="1" applyFill="1" applyBorder="1" applyAlignment="1" applyProtection="1">
      <alignment horizontal="center"/>
    </xf>
    <xf numFmtId="2" fontId="14" fillId="2" borderId="9" xfId="0" applyNumberFormat="1"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12" fillId="5" borderId="0" xfId="0" applyFont="1" applyFill="1" applyBorder="1" applyAlignment="1" applyProtection="1">
      <alignment horizontal="center"/>
    </xf>
    <xf numFmtId="172" fontId="14" fillId="2" borderId="2" xfId="0" applyNumberFormat="1" applyFont="1" applyFill="1" applyBorder="1" applyProtection="1"/>
    <xf numFmtId="0" fontId="12" fillId="5" borderId="11" xfId="0" applyFont="1" applyFill="1" applyBorder="1" applyAlignment="1" applyProtection="1">
      <alignment horizontal="center"/>
    </xf>
    <xf numFmtId="172" fontId="14" fillId="2" borderId="0" xfId="0" applyNumberFormat="1" applyFont="1" applyFill="1" applyBorder="1"/>
    <xf numFmtId="0" fontId="2" fillId="6" borderId="0" xfId="0" applyFont="1" applyFill="1"/>
  </cellXfs>
  <cellStyles count="5">
    <cellStyle name="Comma" xfId="1" builtinId="3"/>
    <cellStyle name="Currency" xfId="2" builtinId="4"/>
    <cellStyle name="Hyperlink" xfId="3" builtinId="8"/>
    <cellStyle name="Normal" xfId="0" builtinId="0"/>
    <cellStyle name="Normal_Raspc2" xfId="4"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889446</xdr:colOff>
      <xdr:row>2</xdr:row>
      <xdr:rowOff>219349</xdr:rowOff>
    </xdr:to>
    <xdr:pic>
      <xdr:nvPicPr>
        <xdr:cNvPr id="5" name="Picture 4" descr="This is the Ontario Trillium logo">
          <a:extLst>
            <a:ext uri="{FF2B5EF4-FFF2-40B4-BE49-F238E27FC236}">
              <a16:creationId xmlns:a16="http://schemas.microsoft.com/office/drawing/2014/main" id="{726A9858-7931-4F2F-AB1B-0EB9C02E645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18121"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BC314"/>
  <sheetViews>
    <sheetView showGridLines="0" tabSelected="1" zoomScaleNormal="100" workbookViewId="0">
      <selection activeCell="A4" sqref="A4"/>
    </sheetView>
  </sheetViews>
  <sheetFormatPr defaultColWidth="11" defaultRowHeight="13.3" x14ac:dyDescent="0.25"/>
  <cols>
    <col min="1" max="1" width="12.4609375" style="86" customWidth="1"/>
    <col min="2" max="2" width="28.23046875" style="86" customWidth="1"/>
    <col min="3" max="3" width="11" style="86" customWidth="1"/>
    <col min="4" max="4" width="14.4609375" style="86" customWidth="1"/>
    <col min="5" max="5" width="13.3046875" style="86" customWidth="1"/>
    <col min="6" max="6" width="13.84375" style="86" customWidth="1"/>
    <col min="7" max="7" width="12.84375" style="86" customWidth="1"/>
    <col min="8" max="8" width="14.69140625" style="86" customWidth="1"/>
    <col min="9" max="28" width="11" style="76" hidden="1" customWidth="1"/>
    <col min="29" max="29" width="11" style="2" hidden="1" customWidth="1"/>
    <col min="30" max="31" width="9.07421875" style="2" hidden="1" customWidth="1"/>
    <col min="32" max="32" width="13.07421875" style="2" hidden="1" customWidth="1"/>
    <col min="33" max="46" width="9.07421875" style="2" hidden="1" customWidth="1"/>
    <col min="47" max="47" width="12" style="2" hidden="1" customWidth="1"/>
    <col min="48" max="55" width="11" style="2" hidden="1" customWidth="1"/>
    <col min="56" max="60" width="11" style="2" customWidth="1"/>
    <col min="61" max="61" width="13.3046875" style="2" customWidth="1"/>
    <col min="62" max="69" width="8.69140625" style="2" customWidth="1"/>
    <col min="70" max="70" width="6.4609375" style="2" customWidth="1"/>
    <col min="71" max="16384" width="11" style="2"/>
  </cols>
  <sheetData>
    <row r="1" spans="1:53" ht="15.45" x14ac:dyDescent="0.4">
      <c r="A1" s="85" t="s">
        <v>241</v>
      </c>
    </row>
    <row r="2" spans="1:53" ht="15.45" x14ac:dyDescent="0.4">
      <c r="A2" s="87"/>
      <c r="B2" s="88"/>
      <c r="C2" s="89" t="s">
        <v>0</v>
      </c>
      <c r="D2" s="88"/>
      <c r="E2" s="88"/>
      <c r="F2" s="88"/>
      <c r="G2" s="90" t="s">
        <v>225</v>
      </c>
      <c r="H2" s="91"/>
      <c r="I2" s="27"/>
      <c r="J2" s="27"/>
      <c r="K2" s="27"/>
      <c r="L2" s="27"/>
      <c r="M2" s="27"/>
      <c r="N2" s="27"/>
      <c r="O2" s="27"/>
      <c r="P2" s="27"/>
      <c r="Q2" s="27"/>
      <c r="R2" s="27"/>
      <c r="S2" s="27"/>
      <c r="T2" s="27"/>
      <c r="U2" s="27"/>
      <c r="V2" s="27"/>
      <c r="W2" s="27"/>
      <c r="X2" s="27"/>
      <c r="Y2" s="27"/>
      <c r="Z2" s="27"/>
      <c r="AA2" s="26"/>
      <c r="AB2" s="27"/>
      <c r="AC2" s="1"/>
      <c r="AD2" s="1"/>
      <c r="AE2" s="1"/>
      <c r="AF2" s="1"/>
      <c r="AU2" s="3">
        <f ca="1">E166</f>
        <v>1305.8146177370018</v>
      </c>
    </row>
    <row r="3" spans="1:53" ht="22.5" customHeight="1" x14ac:dyDescent="0.4">
      <c r="A3" s="92">
        <v>1</v>
      </c>
      <c r="B3" s="93"/>
      <c r="C3" s="93"/>
      <c r="D3" s="93"/>
      <c r="E3" s="93"/>
      <c r="F3" s="94" t="s">
        <v>165</v>
      </c>
      <c r="G3" s="95"/>
      <c r="H3" s="96">
        <f ca="1">AU2</f>
        <v>1305.8146177370018</v>
      </c>
      <c r="I3" s="29"/>
      <c r="J3" s="29"/>
      <c r="K3" s="29"/>
      <c r="L3" s="29"/>
      <c r="M3" s="29"/>
      <c r="N3" s="29"/>
      <c r="O3" s="29"/>
      <c r="P3" s="29"/>
      <c r="Q3" s="29"/>
      <c r="R3" s="29"/>
      <c r="S3" s="29"/>
      <c r="T3" s="29"/>
      <c r="U3" s="29"/>
      <c r="V3" s="29"/>
      <c r="W3" s="29"/>
      <c r="X3" s="29"/>
      <c r="Y3" s="29"/>
      <c r="Z3" s="29"/>
      <c r="AA3" s="28"/>
      <c r="AB3" s="29"/>
      <c r="AC3" s="1"/>
      <c r="AD3" s="1"/>
      <c r="AE3" s="1"/>
      <c r="AF3" s="1"/>
      <c r="AU3" s="2">
        <f>ROUND((((C6+C8)*365)+((C6+C8)*C10*3))/(C12/100)/100,2)</f>
        <v>9619.6299999999992</v>
      </c>
    </row>
    <row r="4" spans="1:53" ht="15.45" x14ac:dyDescent="0.4">
      <c r="A4" s="97" t="s">
        <v>1</v>
      </c>
      <c r="B4" s="93"/>
      <c r="C4" s="98">
        <v>98.1</v>
      </c>
      <c r="D4" s="99"/>
      <c r="E4" s="93"/>
      <c r="F4" s="93" t="s">
        <v>166</v>
      </c>
      <c r="G4" s="100"/>
      <c r="H4" s="101">
        <f ca="1">F166</f>
        <v>13.319202547297042</v>
      </c>
      <c r="I4" s="31"/>
      <c r="J4" s="31"/>
      <c r="K4" s="31"/>
      <c r="L4" s="31"/>
      <c r="M4" s="31"/>
      <c r="N4" s="31"/>
      <c r="O4" s="31"/>
      <c r="P4" s="31"/>
      <c r="Q4" s="31"/>
      <c r="R4" s="31"/>
      <c r="S4" s="31"/>
      <c r="T4" s="31"/>
      <c r="U4" s="31"/>
      <c r="V4" s="31"/>
      <c r="W4" s="31"/>
      <c r="X4" s="31"/>
      <c r="Y4" s="31"/>
      <c r="Z4" s="31"/>
      <c r="AA4" s="30"/>
      <c r="AB4" s="31"/>
      <c r="AC4" s="1"/>
      <c r="AD4" s="1"/>
      <c r="AE4" s="1"/>
      <c r="AF4" s="1"/>
      <c r="AU4" s="2">
        <f>C4*F30/100*F32/100</f>
        <v>9617.7239999999983</v>
      </c>
    </row>
    <row r="5" spans="1:53" ht="15.45" x14ac:dyDescent="0.4">
      <c r="A5" s="102"/>
      <c r="B5" s="93"/>
      <c r="C5" s="103"/>
      <c r="D5" s="99"/>
      <c r="E5" s="94" t="s">
        <v>2</v>
      </c>
      <c r="F5" s="93"/>
      <c r="G5" s="93"/>
      <c r="H5" s="104"/>
      <c r="I5" s="27"/>
      <c r="J5" s="27"/>
      <c r="K5" s="27"/>
      <c r="L5" s="27"/>
      <c r="M5" s="27"/>
      <c r="N5" s="27"/>
      <c r="O5" s="27"/>
      <c r="P5" s="27"/>
      <c r="Q5" s="27"/>
      <c r="R5" s="27"/>
      <c r="S5" s="27"/>
      <c r="T5" s="27"/>
      <c r="U5" s="27"/>
      <c r="V5" s="27"/>
      <c r="W5" s="27"/>
      <c r="X5" s="27"/>
      <c r="Y5" s="27"/>
      <c r="Z5" s="27"/>
      <c r="AA5" s="26"/>
      <c r="AB5" s="27"/>
      <c r="AC5" s="1"/>
      <c r="AD5" s="1"/>
      <c r="AE5" s="1"/>
      <c r="AF5" s="1"/>
      <c r="AU5" s="2">
        <f ca="1">IF(C4&lt;=0,0,+H147)</f>
        <v>625625.77600000007</v>
      </c>
    </row>
    <row r="6" spans="1:53" ht="15.45" x14ac:dyDescent="0.4">
      <c r="A6" s="97" t="s">
        <v>173</v>
      </c>
      <c r="B6" s="93"/>
      <c r="C6" s="98">
        <v>112.8</v>
      </c>
      <c r="D6" s="105" t="s">
        <v>3</v>
      </c>
      <c r="E6" s="94" t="s">
        <v>4</v>
      </c>
      <c r="F6" s="93"/>
      <c r="G6" s="93"/>
      <c r="H6" s="106">
        <f>AU3</f>
        <v>9619.6299999999992</v>
      </c>
      <c r="I6" s="33"/>
      <c r="J6" s="33"/>
      <c r="K6" s="33"/>
      <c r="L6" s="33"/>
      <c r="M6" s="33"/>
      <c r="N6" s="33"/>
      <c r="O6" s="33"/>
      <c r="P6" s="33"/>
      <c r="Q6" s="33"/>
      <c r="R6" s="33"/>
      <c r="S6" s="33"/>
      <c r="T6" s="33"/>
      <c r="U6" s="33"/>
      <c r="V6" s="33"/>
      <c r="W6" s="33"/>
      <c r="X6" s="33"/>
      <c r="Y6" s="33"/>
      <c r="Z6" s="33"/>
      <c r="AA6" s="32"/>
      <c r="AB6" s="33"/>
      <c r="AC6" s="1"/>
      <c r="AD6" s="1"/>
      <c r="AE6" s="1"/>
      <c r="AF6" s="1"/>
      <c r="AU6" s="2">
        <f ca="1">IF(C4&lt;=0,0,+H156)</f>
        <v>194336.09999999998</v>
      </c>
    </row>
    <row r="7" spans="1:53" ht="15.45" x14ac:dyDescent="0.4">
      <c r="A7" s="97"/>
      <c r="B7" s="93"/>
      <c r="C7" s="93"/>
      <c r="D7" s="99"/>
      <c r="E7" s="94" t="s">
        <v>182</v>
      </c>
      <c r="F7" s="93"/>
      <c r="G7" s="93"/>
      <c r="H7" s="106">
        <f>AU4</f>
        <v>9617.7239999999983</v>
      </c>
      <c r="I7" s="78"/>
      <c r="J7" s="33"/>
      <c r="K7" s="33"/>
      <c r="L7" s="33"/>
      <c r="M7" s="33"/>
      <c r="N7" s="33"/>
      <c r="O7" s="33"/>
      <c r="P7" s="33"/>
      <c r="Q7" s="33"/>
      <c r="R7" s="33"/>
      <c r="S7" s="33"/>
      <c r="T7" s="33"/>
      <c r="U7" s="33"/>
      <c r="V7" s="33"/>
      <c r="W7" s="33"/>
      <c r="X7" s="33"/>
      <c r="Y7" s="33"/>
      <c r="Z7" s="33"/>
      <c r="AA7" s="32"/>
      <c r="AB7" s="33"/>
      <c r="AC7" s="1"/>
      <c r="AD7" s="1"/>
      <c r="AE7" s="1"/>
      <c r="AF7" s="1"/>
      <c r="AU7" s="2">
        <f>IF(C4&lt;=0,0,+G160)</f>
        <v>948062.28999999992</v>
      </c>
    </row>
    <row r="8" spans="1:53" ht="15.45" x14ac:dyDescent="0.4">
      <c r="A8" s="97" t="s">
        <v>188</v>
      </c>
      <c r="B8" s="93"/>
      <c r="C8" s="98">
        <v>0</v>
      </c>
      <c r="D8" s="105" t="s">
        <v>3</v>
      </c>
      <c r="E8" s="103"/>
      <c r="F8" s="93"/>
      <c r="G8" s="93"/>
      <c r="H8" s="107"/>
      <c r="I8" s="35"/>
      <c r="J8" s="35"/>
      <c r="K8" s="35"/>
      <c r="L8" s="35"/>
      <c r="M8" s="35"/>
      <c r="N8" s="35"/>
      <c r="O8" s="35"/>
      <c r="P8" s="35"/>
      <c r="Q8" s="35"/>
      <c r="R8" s="35"/>
      <c r="S8" s="35"/>
      <c r="T8" s="35"/>
      <c r="U8" s="35"/>
      <c r="V8" s="35"/>
      <c r="W8" s="35"/>
      <c r="X8" s="35"/>
      <c r="Y8" s="35"/>
      <c r="Z8" s="35"/>
      <c r="AA8" s="34"/>
      <c r="AB8" s="35"/>
      <c r="AC8" s="1"/>
      <c r="AD8" s="1"/>
      <c r="AE8" s="1"/>
      <c r="AF8" s="1"/>
      <c r="AU8" s="2">
        <f>IF(C4&lt;=0,0,+AC167)</f>
        <v>93408.440595462627</v>
      </c>
    </row>
    <row r="9" spans="1:53" ht="15.45" x14ac:dyDescent="0.4">
      <c r="A9" s="97"/>
      <c r="B9" s="93"/>
      <c r="C9" s="108"/>
      <c r="D9" s="105"/>
      <c r="E9" s="105" t="s">
        <v>5</v>
      </c>
      <c r="F9" s="93"/>
      <c r="G9" s="93"/>
      <c r="H9" s="104"/>
      <c r="I9" s="27"/>
      <c r="J9" s="27"/>
      <c r="K9" s="27"/>
      <c r="L9" s="27"/>
      <c r="M9" s="27"/>
      <c r="N9" s="27"/>
      <c r="O9" s="27"/>
      <c r="P9" s="27"/>
      <c r="Q9" s="27"/>
      <c r="R9" s="27"/>
      <c r="S9" s="27"/>
      <c r="T9" s="27"/>
      <c r="U9" s="27"/>
      <c r="V9" s="27"/>
      <c r="W9" s="27"/>
      <c r="X9" s="27"/>
      <c r="Y9" s="27"/>
      <c r="Z9" s="27"/>
      <c r="AA9" s="26"/>
      <c r="AB9" s="27"/>
      <c r="AC9" s="1"/>
      <c r="AD9" s="1"/>
      <c r="AE9" s="1"/>
      <c r="AF9" s="1"/>
      <c r="AU9" s="2">
        <f>C4</f>
        <v>98.1</v>
      </c>
    </row>
    <row r="10" spans="1:53" ht="15.45" x14ac:dyDescent="0.4">
      <c r="A10" s="97" t="s">
        <v>6</v>
      </c>
      <c r="B10" s="93"/>
      <c r="C10" s="98">
        <v>0</v>
      </c>
      <c r="D10" s="105" t="s">
        <v>7</v>
      </c>
      <c r="E10" s="94" t="s">
        <v>8</v>
      </c>
      <c r="F10" s="93"/>
      <c r="G10" s="109">
        <v>3.92</v>
      </c>
      <c r="H10" s="110" t="s">
        <v>9</v>
      </c>
      <c r="I10" s="37"/>
      <c r="J10" s="37"/>
      <c r="K10" s="37"/>
      <c r="L10" s="37"/>
      <c r="M10" s="37"/>
      <c r="N10" s="37"/>
      <c r="O10" s="37"/>
      <c r="P10" s="37"/>
      <c r="Q10" s="37"/>
      <c r="R10" s="37"/>
      <c r="S10" s="37"/>
      <c r="T10" s="37"/>
      <c r="U10" s="37"/>
      <c r="V10" s="37"/>
      <c r="W10" s="37"/>
      <c r="X10" s="37"/>
      <c r="Y10" s="37"/>
      <c r="Z10" s="37"/>
      <c r="AA10" s="36"/>
      <c r="AB10" s="37"/>
      <c r="AC10" s="1"/>
      <c r="AD10" s="1"/>
      <c r="AE10" s="1"/>
      <c r="AF10" s="1"/>
      <c r="AU10" s="3">
        <f>SUM(H120:H122)</f>
        <v>8240.4</v>
      </c>
    </row>
    <row r="11" spans="1:53" ht="15.45" x14ac:dyDescent="0.4">
      <c r="A11" s="111"/>
      <c r="B11" s="93"/>
      <c r="C11" s="112"/>
      <c r="D11" s="113"/>
      <c r="E11" s="94" t="s">
        <v>10</v>
      </c>
      <c r="F11" s="95"/>
      <c r="G11" s="109">
        <v>0.67500000000000004</v>
      </c>
      <c r="H11" s="110" t="s">
        <v>9</v>
      </c>
      <c r="I11" s="37"/>
      <c r="J11" s="37"/>
      <c r="K11" s="37"/>
      <c r="L11" s="37"/>
      <c r="M11" s="37"/>
      <c r="N11" s="37"/>
      <c r="O11" s="37"/>
      <c r="P11" s="37"/>
      <c r="Q11" s="37"/>
      <c r="R11" s="37"/>
      <c r="S11" s="37"/>
      <c r="T11" s="37"/>
      <c r="U11" s="37"/>
      <c r="V11" s="37"/>
      <c r="W11" s="37"/>
      <c r="X11" s="37"/>
      <c r="Y11" s="37"/>
      <c r="Z11" s="37"/>
      <c r="AA11" s="36"/>
      <c r="AB11" s="37"/>
      <c r="AC11" s="1"/>
      <c r="AD11" s="1"/>
      <c r="AE11" s="1"/>
      <c r="AF11" s="1"/>
      <c r="AU11" s="3">
        <f>SUM(H88:H93)</f>
        <v>208462.5</v>
      </c>
    </row>
    <row r="12" spans="1:53" ht="15.45" x14ac:dyDescent="0.4">
      <c r="A12" s="97"/>
      <c r="B12" s="94" t="s">
        <v>190</v>
      </c>
      <c r="C12" s="98">
        <v>4.28</v>
      </c>
      <c r="D12" s="105" t="s">
        <v>11</v>
      </c>
      <c r="E12" s="94" t="s">
        <v>177</v>
      </c>
      <c r="F12" s="95"/>
      <c r="G12" s="109">
        <v>1.4</v>
      </c>
      <c r="H12" s="110" t="s">
        <v>9</v>
      </c>
      <c r="I12" s="37"/>
      <c r="J12" s="37"/>
      <c r="K12" s="37"/>
      <c r="L12" s="37"/>
      <c r="M12" s="37"/>
      <c r="N12" s="37"/>
      <c r="O12" s="37"/>
      <c r="P12" s="37"/>
      <c r="Q12" s="37"/>
      <c r="R12" s="37"/>
      <c r="S12" s="37"/>
      <c r="T12" s="37"/>
      <c r="U12" s="37"/>
      <c r="V12" s="37"/>
      <c r="W12" s="37"/>
      <c r="X12" s="37"/>
      <c r="Y12" s="37"/>
      <c r="Z12" s="37"/>
      <c r="AA12" s="36"/>
      <c r="AB12" s="37"/>
      <c r="AC12" s="1"/>
      <c r="AD12" s="1"/>
      <c r="AE12" s="1"/>
      <c r="AF12" s="1"/>
      <c r="AU12" s="3">
        <f>H124+H125</f>
        <v>35119.799999999996</v>
      </c>
      <c r="AW12" s="2">
        <f>C4*F30*F32</f>
        <v>96177239.999999985</v>
      </c>
      <c r="AX12" s="2" t="s">
        <v>224</v>
      </c>
    </row>
    <row r="13" spans="1:53" ht="15.45" x14ac:dyDescent="0.4">
      <c r="A13" s="97"/>
      <c r="B13" s="94" t="s">
        <v>191</v>
      </c>
      <c r="C13" s="98">
        <v>3.3</v>
      </c>
      <c r="D13" s="105" t="s">
        <v>11</v>
      </c>
      <c r="E13" s="94" t="s">
        <v>176</v>
      </c>
      <c r="F13" s="95"/>
      <c r="G13" s="109">
        <v>0.05</v>
      </c>
      <c r="H13" s="110" t="s">
        <v>9</v>
      </c>
      <c r="I13" s="37"/>
      <c r="J13" s="37"/>
      <c r="K13" s="37"/>
      <c r="L13" s="37"/>
      <c r="M13" s="37"/>
      <c r="N13" s="37"/>
      <c r="O13" s="37"/>
      <c r="P13" s="37"/>
      <c r="Q13" s="37"/>
      <c r="R13" s="37"/>
      <c r="S13" s="37"/>
      <c r="T13" s="37"/>
      <c r="U13" s="37"/>
      <c r="V13" s="37"/>
      <c r="W13" s="37"/>
      <c r="X13" s="37"/>
      <c r="Y13" s="37"/>
      <c r="Z13" s="37"/>
      <c r="AA13" s="36"/>
      <c r="AB13" s="37"/>
      <c r="AC13" s="1"/>
      <c r="AD13" s="1"/>
      <c r="AE13" s="1"/>
      <c r="AF13" s="1"/>
      <c r="AU13" s="2">
        <f>C12</f>
        <v>4.28</v>
      </c>
      <c r="AZ13" s="2">
        <v>9806.4</v>
      </c>
      <c r="BA13" s="2" t="s">
        <v>226</v>
      </c>
    </row>
    <row r="14" spans="1:53" ht="15.45" x14ac:dyDescent="0.4">
      <c r="A14" s="97"/>
      <c r="B14" s="94" t="s">
        <v>16</v>
      </c>
      <c r="C14" s="98">
        <v>5.94</v>
      </c>
      <c r="D14" s="105" t="s">
        <v>11</v>
      </c>
      <c r="E14" s="94" t="s">
        <v>208</v>
      </c>
      <c r="F14" s="95"/>
      <c r="G14" s="109">
        <v>0.06</v>
      </c>
      <c r="H14" s="110" t="s">
        <v>9</v>
      </c>
      <c r="I14" s="37"/>
      <c r="J14" s="37"/>
      <c r="K14" s="37"/>
      <c r="L14" s="37"/>
      <c r="M14" s="37"/>
      <c r="N14" s="37"/>
      <c r="O14" s="37"/>
      <c r="P14" s="37"/>
      <c r="Q14" s="37"/>
      <c r="R14" s="37"/>
      <c r="S14" s="37"/>
      <c r="T14" s="37"/>
      <c r="U14" s="37"/>
      <c r="V14" s="37"/>
      <c r="W14" s="37"/>
      <c r="X14" s="37"/>
      <c r="Y14" s="37"/>
      <c r="Z14" s="37"/>
      <c r="AA14" s="36"/>
      <c r="AB14" s="37"/>
      <c r="AC14" s="1"/>
      <c r="AD14" s="1"/>
      <c r="AE14" s="1"/>
      <c r="AF14" s="1"/>
      <c r="AU14" s="3">
        <f>H123+H126+H127+H130+H133</f>
        <v>116444.69999999998</v>
      </c>
      <c r="AZ14" s="2">
        <v>4.28</v>
      </c>
      <c r="BA14" s="2" t="s">
        <v>227</v>
      </c>
    </row>
    <row r="15" spans="1:53" ht="15.45" x14ac:dyDescent="0.4">
      <c r="A15" s="111"/>
      <c r="B15" s="114" t="s">
        <v>198</v>
      </c>
      <c r="C15" s="98">
        <v>2.2839999999999998</v>
      </c>
      <c r="D15" s="113"/>
      <c r="E15" s="94"/>
      <c r="F15" s="95"/>
      <c r="G15" s="115"/>
      <c r="H15" s="110"/>
      <c r="I15" s="37"/>
      <c r="J15" s="37"/>
      <c r="K15" s="37"/>
      <c r="L15" s="37"/>
      <c r="M15" s="37"/>
      <c r="N15" s="37"/>
      <c r="O15" s="37"/>
      <c r="P15" s="37"/>
      <c r="Q15" s="37"/>
      <c r="R15" s="37"/>
      <c r="S15" s="37"/>
      <c r="T15" s="37"/>
      <c r="U15" s="37"/>
      <c r="V15" s="37"/>
      <c r="W15" s="37"/>
      <c r="X15" s="37"/>
      <c r="Y15" s="37"/>
      <c r="Z15" s="37"/>
      <c r="AA15" s="36"/>
      <c r="AB15" s="37"/>
      <c r="AC15" s="4"/>
      <c r="AD15" s="1"/>
      <c r="AE15" s="1"/>
      <c r="AF15" s="1"/>
      <c r="AU15" s="3">
        <f>H128+H129</f>
        <v>60285.775999999991</v>
      </c>
      <c r="AW15" s="2">
        <f>773580/8942</f>
        <v>86.510847685081643</v>
      </c>
      <c r="AZ15" s="2">
        <f>AZ14*AZ13</f>
        <v>41971.392</v>
      </c>
      <c r="BA15" s="2" t="s">
        <v>228</v>
      </c>
    </row>
    <row r="16" spans="1:53" ht="15.45" hidden="1" x14ac:dyDescent="0.4">
      <c r="A16" s="111"/>
      <c r="B16" s="93"/>
      <c r="C16" s="112"/>
      <c r="D16" s="113"/>
      <c r="E16" s="116"/>
      <c r="F16" s="95"/>
      <c r="G16" s="116"/>
      <c r="H16" s="106"/>
      <c r="I16" s="33"/>
      <c r="J16" s="33"/>
      <c r="K16" s="33"/>
      <c r="L16" s="33"/>
      <c r="M16" s="33"/>
      <c r="N16" s="33"/>
      <c r="O16" s="33"/>
      <c r="P16" s="33"/>
      <c r="Q16" s="33"/>
      <c r="R16" s="33"/>
      <c r="S16" s="33"/>
      <c r="T16" s="33"/>
      <c r="U16" s="33"/>
      <c r="V16" s="33"/>
      <c r="W16" s="33"/>
      <c r="X16" s="33"/>
      <c r="Y16" s="33"/>
      <c r="Z16" s="33"/>
      <c r="AA16" s="32"/>
      <c r="AB16" s="33"/>
      <c r="AC16" s="1"/>
      <c r="AD16" s="1"/>
      <c r="AE16" s="5">
        <f ca="1">AU5</f>
        <v>625625.77600000007</v>
      </c>
      <c r="AF16" s="1"/>
      <c r="AU16" s="3">
        <f>H131+H132</f>
        <v>0</v>
      </c>
    </row>
    <row r="17" spans="1:53" ht="15.45" x14ac:dyDescent="0.4">
      <c r="A17" s="97"/>
      <c r="B17" s="117"/>
      <c r="C17" s="118"/>
      <c r="D17" s="119"/>
      <c r="E17" s="103" t="s">
        <v>164</v>
      </c>
      <c r="F17" s="112"/>
      <c r="G17" s="109">
        <f>SUM(G10:G15)</f>
        <v>6.1049999999999986</v>
      </c>
      <c r="H17" s="120"/>
      <c r="I17" s="39"/>
      <c r="J17" s="39"/>
      <c r="K17" s="39"/>
      <c r="L17" s="39"/>
      <c r="M17" s="39"/>
      <c r="N17" s="39"/>
      <c r="O17" s="39"/>
      <c r="P17" s="39"/>
      <c r="Q17" s="39"/>
      <c r="R17" s="39"/>
      <c r="S17" s="39"/>
      <c r="T17" s="39"/>
      <c r="U17" s="39"/>
      <c r="V17" s="39"/>
      <c r="W17" s="39"/>
      <c r="X17" s="39"/>
      <c r="Y17" s="39"/>
      <c r="Z17" s="39"/>
      <c r="AA17" s="38"/>
      <c r="AB17" s="39"/>
      <c r="AC17" s="1"/>
      <c r="AD17" s="1"/>
      <c r="AE17" s="5">
        <f ca="1">AU6</f>
        <v>194336.09999999998</v>
      </c>
      <c r="AF17" s="1"/>
      <c r="AU17" s="2">
        <f>IF(ROUND(H7,2)&gt;H6,H6,ROUND(H7,2))</f>
        <v>9617.7199999999993</v>
      </c>
      <c r="AZ17" s="2">
        <f>AZ13*100/365</f>
        <v>2686.6849315068494</v>
      </c>
      <c r="BA17" s="2" t="s">
        <v>229</v>
      </c>
    </row>
    <row r="18" spans="1:53" ht="15.45" x14ac:dyDescent="0.4">
      <c r="A18" s="97"/>
      <c r="B18" s="117"/>
      <c r="C18" s="118"/>
      <c r="D18" s="119"/>
      <c r="E18" s="103"/>
      <c r="F18" s="112"/>
      <c r="G18" s="121"/>
      <c r="H18" s="120"/>
      <c r="I18" s="41"/>
      <c r="J18" s="41"/>
      <c r="K18" s="41"/>
      <c r="L18" s="41"/>
      <c r="M18" s="41"/>
      <c r="N18" s="41"/>
      <c r="O18" s="41"/>
      <c r="P18" s="41"/>
      <c r="Q18" s="41"/>
      <c r="R18" s="41"/>
      <c r="S18" s="41"/>
      <c r="T18" s="41"/>
      <c r="U18" s="41"/>
      <c r="V18" s="41"/>
      <c r="W18" s="41"/>
      <c r="X18" s="41"/>
      <c r="Y18" s="41"/>
      <c r="Z18" s="41"/>
      <c r="AA18" s="40"/>
      <c r="AB18" s="41"/>
      <c r="AC18" s="1"/>
      <c r="AD18" s="1"/>
      <c r="AE18" s="5">
        <f>AU7</f>
        <v>948062.28999999992</v>
      </c>
      <c r="AF18" s="1"/>
      <c r="AU18" s="2">
        <f>C12</f>
        <v>4.28</v>
      </c>
      <c r="AZ18" s="2">
        <v>23.3</v>
      </c>
      <c r="BA18" s="2" t="s">
        <v>230</v>
      </c>
    </row>
    <row r="19" spans="1:53" ht="15.45" hidden="1" x14ac:dyDescent="0.4">
      <c r="A19" s="97"/>
      <c r="B19" s="93"/>
      <c r="C19" s="122"/>
      <c r="D19" s="105"/>
      <c r="E19" s="94"/>
      <c r="F19" s="95"/>
      <c r="G19" s="115"/>
      <c r="H19" s="110"/>
      <c r="I19" s="41"/>
      <c r="J19" s="41"/>
      <c r="K19" s="41"/>
      <c r="L19" s="41"/>
      <c r="M19" s="41"/>
      <c r="N19" s="41"/>
      <c r="O19" s="41"/>
      <c r="P19" s="41"/>
      <c r="Q19" s="41"/>
      <c r="R19" s="41"/>
      <c r="S19" s="41"/>
      <c r="T19" s="41"/>
      <c r="U19" s="41"/>
      <c r="V19" s="41"/>
      <c r="W19" s="41"/>
      <c r="X19" s="41"/>
      <c r="Y19" s="41"/>
      <c r="Z19" s="41"/>
      <c r="AA19" s="40"/>
      <c r="AB19" s="41"/>
      <c r="AC19" s="4"/>
      <c r="AD19" s="1"/>
      <c r="AE19" s="5">
        <f>AU8</f>
        <v>93408.440595462627</v>
      </c>
      <c r="AF19" s="1"/>
      <c r="AU19" s="2">
        <f>ROUND(+A39*C39,0)</f>
        <v>41164</v>
      </c>
    </row>
    <row r="20" spans="1:53" ht="15.45" hidden="1" x14ac:dyDescent="0.4">
      <c r="A20" s="102"/>
      <c r="B20" s="93"/>
      <c r="C20" s="103"/>
      <c r="D20" s="99"/>
      <c r="E20" s="123"/>
      <c r="F20" s="108"/>
      <c r="G20" s="108"/>
      <c r="H20" s="124"/>
      <c r="I20" s="41"/>
      <c r="J20" s="41"/>
      <c r="K20" s="41"/>
      <c r="L20" s="41"/>
      <c r="M20" s="41"/>
      <c r="N20" s="41"/>
      <c r="O20" s="41"/>
      <c r="P20" s="41"/>
      <c r="Q20" s="41"/>
      <c r="R20" s="41"/>
      <c r="S20" s="41"/>
      <c r="T20" s="41"/>
      <c r="U20" s="41"/>
      <c r="V20" s="41"/>
      <c r="W20" s="41"/>
      <c r="X20" s="41"/>
      <c r="Y20" s="41"/>
      <c r="Z20" s="41"/>
      <c r="AA20" s="40"/>
      <c r="AB20" s="41"/>
      <c r="AC20" s="1"/>
      <c r="AD20" s="1"/>
      <c r="AE20" s="1"/>
      <c r="AF20" s="1"/>
      <c r="AU20" s="6">
        <f>C23</f>
        <v>13.2881</v>
      </c>
    </row>
    <row r="21" spans="1:53" ht="15.45" hidden="1" x14ac:dyDescent="0.4">
      <c r="A21" s="102"/>
      <c r="B21" s="93"/>
      <c r="C21" s="103"/>
      <c r="D21" s="99"/>
      <c r="E21" s="123"/>
      <c r="F21" s="108"/>
      <c r="G21" s="108"/>
      <c r="H21" s="124"/>
      <c r="I21" s="41"/>
      <c r="J21" s="41"/>
      <c r="K21" s="41"/>
      <c r="L21" s="41"/>
      <c r="M21" s="41"/>
      <c r="N21" s="41"/>
      <c r="O21" s="41"/>
      <c r="P21" s="41"/>
      <c r="Q21" s="41"/>
      <c r="R21" s="41"/>
      <c r="S21" s="41"/>
      <c r="T21" s="41"/>
      <c r="U21" s="41"/>
      <c r="V21" s="41"/>
      <c r="W21" s="41"/>
      <c r="X21" s="41"/>
      <c r="Y21" s="41"/>
      <c r="Z21" s="41"/>
      <c r="AA21" s="40"/>
      <c r="AB21" s="41"/>
      <c r="AC21" s="1"/>
      <c r="AD21" s="1"/>
      <c r="AE21" s="7" t="s">
        <v>17</v>
      </c>
      <c r="AF21" s="1"/>
      <c r="AU21" s="2">
        <f>ROUND(E39*G39,2)</f>
        <v>546991.35</v>
      </c>
    </row>
    <row r="22" spans="1:53" ht="15.45" x14ac:dyDescent="0.4">
      <c r="A22" s="97" t="s">
        <v>12</v>
      </c>
      <c r="B22" s="93"/>
      <c r="C22" s="125"/>
      <c r="D22" s="119"/>
      <c r="E22" s="94" t="s">
        <v>189</v>
      </c>
      <c r="F22" s="93"/>
      <c r="G22" s="93"/>
      <c r="H22" s="124"/>
      <c r="I22" s="41"/>
      <c r="J22" s="41"/>
      <c r="K22" s="41"/>
      <c r="L22" s="41"/>
      <c r="M22" s="41"/>
      <c r="N22" s="41"/>
      <c r="O22" s="41"/>
      <c r="P22" s="41"/>
      <c r="Q22" s="41"/>
      <c r="R22" s="41"/>
      <c r="S22" s="41"/>
      <c r="T22" s="41"/>
      <c r="U22" s="41"/>
      <c r="V22" s="41"/>
      <c r="W22" s="41"/>
      <c r="X22" s="41"/>
      <c r="Y22" s="41"/>
      <c r="Z22" s="41"/>
      <c r="AA22" s="40"/>
      <c r="AB22" s="41"/>
      <c r="AC22" s="1"/>
      <c r="AD22" s="1"/>
      <c r="AE22" s="7" t="s">
        <v>18</v>
      </c>
      <c r="AF22" s="1"/>
      <c r="AU22" s="2">
        <f>AU17</f>
        <v>9617.7199999999993</v>
      </c>
      <c r="AZ22" s="2">
        <f>AZ17/AZ18</f>
        <v>115.30836615909224</v>
      </c>
    </row>
    <row r="23" spans="1:53" ht="15.45" x14ac:dyDescent="0.4">
      <c r="A23" s="97" t="s">
        <v>184</v>
      </c>
      <c r="B23" s="93"/>
      <c r="C23" s="109">
        <v>13.2881</v>
      </c>
      <c r="D23" s="119" t="s">
        <v>14</v>
      </c>
      <c r="E23" s="94" t="s">
        <v>13</v>
      </c>
      <c r="F23" s="93"/>
      <c r="G23" s="109">
        <v>0</v>
      </c>
      <c r="H23" s="124" t="s">
        <v>14</v>
      </c>
      <c r="I23" s="27"/>
      <c r="J23" s="27"/>
      <c r="K23" s="27"/>
      <c r="L23" s="27"/>
      <c r="M23" s="27"/>
      <c r="N23" s="27"/>
      <c r="O23" s="27"/>
      <c r="P23" s="27"/>
      <c r="Q23" s="27"/>
      <c r="R23" s="27"/>
      <c r="S23" s="27"/>
      <c r="T23" s="27"/>
      <c r="U23" s="27"/>
      <c r="V23" s="27"/>
      <c r="W23" s="27"/>
      <c r="X23" s="27"/>
      <c r="Y23" s="27"/>
      <c r="Z23" s="27"/>
      <c r="AA23" s="26"/>
      <c r="AB23" s="27"/>
      <c r="AC23" s="1"/>
      <c r="AD23" s="1"/>
      <c r="AE23" s="5">
        <f>AU9</f>
        <v>98.1</v>
      </c>
      <c r="AF23" s="1"/>
      <c r="AU23" s="2">
        <f>C13</f>
        <v>3.3</v>
      </c>
    </row>
    <row r="24" spans="1:53" ht="15.45" x14ac:dyDescent="0.4">
      <c r="A24" s="97" t="s">
        <v>185</v>
      </c>
      <c r="B24" s="93"/>
      <c r="C24" s="109">
        <v>9.8468</v>
      </c>
      <c r="D24" s="119" t="s">
        <v>14</v>
      </c>
      <c r="E24" s="94" t="s">
        <v>15</v>
      </c>
      <c r="F24" s="126"/>
      <c r="G24" s="109">
        <v>0</v>
      </c>
      <c r="H24" s="124" t="s">
        <v>14</v>
      </c>
      <c r="I24" s="43"/>
      <c r="J24" s="43"/>
      <c r="K24" s="43"/>
      <c r="L24" s="43"/>
      <c r="M24" s="43"/>
      <c r="N24" s="43"/>
      <c r="O24" s="43"/>
      <c r="P24" s="43"/>
      <c r="Q24" s="43"/>
      <c r="R24" s="43"/>
      <c r="S24" s="43"/>
      <c r="T24" s="43"/>
      <c r="U24" s="43"/>
      <c r="V24" s="43"/>
      <c r="W24" s="43"/>
      <c r="X24" s="43"/>
      <c r="Y24" s="43"/>
      <c r="Z24" s="43"/>
      <c r="AA24" s="42"/>
      <c r="AB24" s="43"/>
      <c r="AC24" s="1"/>
      <c r="AD24" s="1"/>
      <c r="AE24" s="8">
        <f>AU10</f>
        <v>8240.4</v>
      </c>
      <c r="AF24" s="1"/>
      <c r="AU24" s="2">
        <f>ROUND(+A40*C40,0)</f>
        <v>31738</v>
      </c>
    </row>
    <row r="25" spans="1:53" ht="15.45" x14ac:dyDescent="0.4">
      <c r="A25" s="97" t="s">
        <v>181</v>
      </c>
      <c r="B25" s="103"/>
      <c r="C25" s="109">
        <v>1.0062</v>
      </c>
      <c r="D25" s="119" t="s">
        <v>14</v>
      </c>
      <c r="E25" s="94" t="s">
        <v>16</v>
      </c>
      <c r="F25" s="108"/>
      <c r="G25" s="109">
        <v>0</v>
      </c>
      <c r="H25" s="124" t="s">
        <v>14</v>
      </c>
      <c r="I25" s="27"/>
      <c r="J25" s="27"/>
      <c r="K25" s="27"/>
      <c r="L25" s="27"/>
      <c r="M25" s="27"/>
      <c r="N25" s="27"/>
      <c r="O25" s="27"/>
      <c r="P25" s="27"/>
      <c r="Q25" s="27"/>
      <c r="R25" s="27"/>
      <c r="S25" s="27"/>
      <c r="T25" s="27"/>
      <c r="U25" s="27"/>
      <c r="V25" s="27"/>
      <c r="W25" s="27"/>
      <c r="X25" s="27"/>
      <c r="Y25" s="27"/>
      <c r="Z25" s="27"/>
      <c r="AA25" s="26"/>
      <c r="AB25" s="27"/>
      <c r="AC25" s="1"/>
      <c r="AD25" s="1"/>
      <c r="AE25" s="8">
        <f>AU11</f>
        <v>208462.5</v>
      </c>
      <c r="AF25" s="1"/>
      <c r="AU25" s="6">
        <f>C24</f>
        <v>9.8468</v>
      </c>
    </row>
    <row r="26" spans="1:53" ht="15.45" x14ac:dyDescent="0.4">
      <c r="A26" s="111"/>
      <c r="B26" s="93"/>
      <c r="C26" s="93"/>
      <c r="D26" s="93"/>
      <c r="E26" s="93"/>
      <c r="F26" s="93"/>
      <c r="G26" s="93"/>
      <c r="H26" s="104"/>
      <c r="I26" s="45"/>
      <c r="J26" s="45"/>
      <c r="K26" s="45"/>
      <c r="L26" s="45"/>
      <c r="M26" s="45"/>
      <c r="N26" s="45"/>
      <c r="O26" s="45"/>
      <c r="P26" s="45"/>
      <c r="Q26" s="45"/>
      <c r="R26" s="45"/>
      <c r="S26" s="45"/>
      <c r="T26" s="45"/>
      <c r="U26" s="45"/>
      <c r="V26" s="45"/>
      <c r="W26" s="45"/>
      <c r="X26" s="45"/>
      <c r="Y26" s="45"/>
      <c r="Z26" s="45"/>
      <c r="AA26" s="44"/>
      <c r="AB26" s="45"/>
      <c r="AC26" s="1"/>
      <c r="AD26" s="1"/>
      <c r="AE26" s="8">
        <f>AU12</f>
        <v>35119.799999999996</v>
      </c>
      <c r="AF26" s="1"/>
      <c r="AU26" s="2">
        <f>ROUND(E40*G40,2)</f>
        <v>312517.74</v>
      </c>
    </row>
    <row r="27" spans="1:53" ht="15.45" x14ac:dyDescent="0.4">
      <c r="A27" s="127" t="s">
        <v>207</v>
      </c>
      <c r="B27" s="128"/>
      <c r="C27" s="128"/>
      <c r="D27" s="128"/>
      <c r="E27" s="128"/>
      <c r="F27" s="128"/>
      <c r="G27" s="128"/>
      <c r="H27" s="128"/>
      <c r="I27" s="47"/>
      <c r="J27" s="47"/>
      <c r="K27" s="47"/>
      <c r="L27" s="47"/>
      <c r="M27" s="47"/>
      <c r="N27" s="47"/>
      <c r="O27" s="47"/>
      <c r="P27" s="47"/>
      <c r="Q27" s="47"/>
      <c r="R27" s="47"/>
      <c r="S27" s="47"/>
      <c r="T27" s="47"/>
      <c r="U27" s="47"/>
      <c r="V27" s="47"/>
      <c r="W27" s="47"/>
      <c r="X27" s="47"/>
      <c r="Y27" s="47"/>
      <c r="Z27" s="47"/>
      <c r="AA27" s="46"/>
      <c r="AB27" s="47"/>
      <c r="AC27" s="1"/>
      <c r="AD27" s="1"/>
      <c r="AE27" s="8">
        <f>AU14</f>
        <v>116444.69999999998</v>
      </c>
      <c r="AF27" s="1"/>
      <c r="AU27" s="2">
        <f>AU17</f>
        <v>9617.7199999999993</v>
      </c>
    </row>
    <row r="28" spans="1:53" ht="15.45" x14ac:dyDescent="0.4">
      <c r="A28" s="102" t="s">
        <v>179</v>
      </c>
      <c r="B28" s="93"/>
      <c r="C28" s="93"/>
      <c r="D28" s="88"/>
      <c r="E28" s="237"/>
      <c r="F28" s="237"/>
      <c r="G28" s="237"/>
      <c r="H28" s="91"/>
      <c r="I28" s="49"/>
      <c r="J28" s="49"/>
      <c r="K28" s="49"/>
      <c r="L28" s="49"/>
      <c r="M28" s="49"/>
      <c r="N28" s="49"/>
      <c r="O28" s="49"/>
      <c r="P28" s="49"/>
      <c r="Q28" s="49"/>
      <c r="R28" s="49"/>
      <c r="S28" s="49"/>
      <c r="T28" s="49"/>
      <c r="U28" s="49"/>
      <c r="V28" s="49"/>
      <c r="W28" s="49"/>
      <c r="X28" s="49"/>
      <c r="Y28" s="49"/>
      <c r="Z28" s="49"/>
      <c r="AA28" s="48"/>
      <c r="AB28" s="49"/>
      <c r="AC28" s="9"/>
      <c r="AD28" s="1"/>
      <c r="AE28" s="8">
        <f>AU15</f>
        <v>60285.775999999991</v>
      </c>
      <c r="AF28" s="1"/>
      <c r="AU28" s="2">
        <f>C14</f>
        <v>5.94</v>
      </c>
    </row>
    <row r="29" spans="1:53" ht="15.45" x14ac:dyDescent="0.4">
      <c r="A29" s="102"/>
      <c r="B29" s="93"/>
      <c r="C29" s="93"/>
      <c r="D29" s="236" t="s">
        <v>220</v>
      </c>
      <c r="E29" s="99"/>
      <c r="F29" s="105" t="s">
        <v>167</v>
      </c>
      <c r="G29" s="129"/>
      <c r="H29" s="238" t="s">
        <v>221</v>
      </c>
      <c r="I29" s="49"/>
      <c r="J29" s="49"/>
      <c r="K29" s="49"/>
      <c r="L29" s="49"/>
      <c r="M29" s="49"/>
      <c r="N29" s="49"/>
      <c r="O29" s="49"/>
      <c r="P29" s="49"/>
      <c r="Q29" s="49"/>
      <c r="R29" s="49"/>
      <c r="S29" s="49"/>
      <c r="T29" s="49"/>
      <c r="U29" s="49"/>
      <c r="V29" s="49"/>
      <c r="W29" s="49"/>
      <c r="X29" s="49"/>
      <c r="Y29" s="49"/>
      <c r="Z29" s="49"/>
      <c r="AA29" s="48"/>
      <c r="AB29" s="49"/>
      <c r="AC29" s="1"/>
      <c r="AD29" s="1"/>
      <c r="AE29" s="8">
        <f>AU16</f>
        <v>0</v>
      </c>
      <c r="AF29" s="1"/>
      <c r="AU29" s="2">
        <f>ROUND(+A41*C41,0)</f>
        <v>57129</v>
      </c>
    </row>
    <row r="30" spans="1:53" ht="15.45" x14ac:dyDescent="0.4">
      <c r="A30" s="130" t="s">
        <v>204</v>
      </c>
      <c r="B30" s="93"/>
      <c r="C30" s="93"/>
      <c r="D30" s="98">
        <v>11247</v>
      </c>
      <c r="E30" s="93"/>
      <c r="F30" s="131">
        <v>9804</v>
      </c>
      <c r="G30" s="93"/>
      <c r="H30" s="98">
        <v>7933</v>
      </c>
      <c r="I30" s="35"/>
      <c r="J30" s="35"/>
      <c r="K30" s="35"/>
      <c r="L30" s="35"/>
      <c r="M30" s="35"/>
      <c r="N30" s="35"/>
      <c r="O30" s="35"/>
      <c r="P30" s="35"/>
      <c r="Q30" s="35"/>
      <c r="R30" s="35"/>
      <c r="S30" s="35"/>
      <c r="T30" s="35"/>
      <c r="U30" s="35"/>
      <c r="V30" s="35"/>
      <c r="W30" s="35"/>
      <c r="X30" s="35"/>
      <c r="Y30" s="35"/>
      <c r="Z30" s="35"/>
      <c r="AA30" s="34"/>
      <c r="AB30" s="35"/>
      <c r="AC30" s="1"/>
      <c r="AD30" s="1"/>
      <c r="AE30" s="4"/>
      <c r="AF30" s="1"/>
      <c r="AU30" s="6">
        <f>C25</f>
        <v>1.0062</v>
      </c>
    </row>
    <row r="31" spans="1:53" ht="15.45" x14ac:dyDescent="0.4">
      <c r="A31" s="97" t="s">
        <v>19</v>
      </c>
      <c r="B31" s="93"/>
      <c r="C31" s="112"/>
      <c r="D31" s="132">
        <v>4.3</v>
      </c>
      <c r="E31" s="116"/>
      <c r="F31" s="119">
        <f>AU13</f>
        <v>4.28</v>
      </c>
      <c r="G31" s="116"/>
      <c r="H31" s="132">
        <v>4.18</v>
      </c>
      <c r="I31" s="43"/>
      <c r="J31" s="43"/>
      <c r="K31" s="43"/>
      <c r="L31" s="43"/>
      <c r="M31" s="43"/>
      <c r="N31" s="43"/>
      <c r="O31" s="43"/>
      <c r="P31" s="43"/>
      <c r="Q31" s="43"/>
      <c r="R31" s="43"/>
      <c r="S31" s="43"/>
      <c r="T31" s="43"/>
      <c r="U31" s="43"/>
      <c r="V31" s="43"/>
      <c r="W31" s="43"/>
      <c r="X31" s="43"/>
      <c r="Y31" s="43"/>
      <c r="Z31" s="43"/>
      <c r="AA31" s="42"/>
      <c r="AB31" s="43"/>
      <c r="AC31" s="1"/>
      <c r="AD31" s="1"/>
      <c r="AE31" s="4"/>
      <c r="AF31" s="1"/>
      <c r="AU31" s="2">
        <f>ROUND(E41*G41,2)</f>
        <v>57483.199999999997</v>
      </c>
    </row>
    <row r="32" spans="1:53" ht="15.45" x14ac:dyDescent="0.4">
      <c r="A32" s="97" t="s">
        <v>222</v>
      </c>
      <c r="B32" s="93"/>
      <c r="C32" s="112"/>
      <c r="D32" s="132">
        <v>100</v>
      </c>
      <c r="E32" s="116"/>
      <c r="F32" s="132">
        <v>100</v>
      </c>
      <c r="G32" s="116"/>
      <c r="H32" s="132">
        <v>96</v>
      </c>
      <c r="I32" s="35"/>
      <c r="J32" s="35"/>
      <c r="K32" s="35"/>
      <c r="L32" s="35"/>
      <c r="M32" s="35"/>
      <c r="N32" s="35"/>
      <c r="O32" s="35"/>
      <c r="P32" s="35"/>
      <c r="Q32" s="35"/>
      <c r="R32" s="35"/>
      <c r="S32" s="35"/>
      <c r="T32" s="35"/>
      <c r="U32" s="35"/>
      <c r="V32" s="35"/>
      <c r="W32" s="35"/>
      <c r="X32" s="35"/>
      <c r="Y32" s="35"/>
      <c r="Z32" s="35"/>
      <c r="AA32" s="34"/>
      <c r="AB32" s="35"/>
      <c r="AC32" s="1"/>
      <c r="AD32" s="1"/>
      <c r="AE32" s="1"/>
      <c r="AF32" s="1"/>
      <c r="AU32" s="3">
        <f>IF(ROUND(H7,2)-ROUND(A39,2)&lt;0,0,ROUND(H7,2)-ROUND(A39,2))</f>
        <v>0</v>
      </c>
    </row>
    <row r="33" spans="1:47" ht="15.45" x14ac:dyDescent="0.4">
      <c r="A33" s="111" t="s">
        <v>210</v>
      </c>
      <c r="B33" s="93"/>
      <c r="C33" s="112"/>
      <c r="D33" s="116"/>
      <c r="E33" s="116"/>
      <c r="F33" s="95"/>
      <c r="G33" s="116"/>
      <c r="H33" s="107"/>
      <c r="I33" s="35"/>
      <c r="J33" s="35"/>
      <c r="K33" s="35"/>
      <c r="L33" s="35"/>
      <c r="M33" s="35"/>
      <c r="N33" s="35"/>
      <c r="O33" s="35"/>
      <c r="P33" s="35"/>
      <c r="Q33" s="35"/>
      <c r="R33" s="35"/>
      <c r="S33" s="35"/>
      <c r="T33" s="35"/>
      <c r="U33" s="35"/>
      <c r="V33" s="35"/>
      <c r="W33" s="35"/>
      <c r="X33" s="35"/>
      <c r="Y33" s="35"/>
      <c r="Z33" s="35"/>
      <c r="AA33" s="34"/>
      <c r="AB33" s="35"/>
      <c r="AC33" s="1"/>
      <c r="AD33" s="1"/>
      <c r="AE33" s="1"/>
      <c r="AF33" s="1"/>
      <c r="AU33" s="2">
        <f>C12</f>
        <v>4.28</v>
      </c>
    </row>
    <row r="34" spans="1:47" ht="15.45" x14ac:dyDescent="0.4">
      <c r="A34" s="128"/>
      <c r="B34" s="128"/>
      <c r="C34" s="128"/>
      <c r="D34" s="128"/>
      <c r="E34" s="128"/>
      <c r="F34" s="128"/>
      <c r="G34" s="128"/>
      <c r="H34" s="128"/>
      <c r="I34" s="51"/>
      <c r="J34" s="51"/>
      <c r="K34" s="51"/>
      <c r="L34" s="51"/>
      <c r="M34" s="51"/>
      <c r="N34" s="51"/>
      <c r="O34" s="51"/>
      <c r="P34" s="51"/>
      <c r="Q34" s="51"/>
      <c r="R34" s="51"/>
      <c r="S34" s="51"/>
      <c r="T34" s="51"/>
      <c r="U34" s="51"/>
      <c r="V34" s="51"/>
      <c r="W34" s="51"/>
      <c r="X34" s="51"/>
      <c r="Y34" s="51"/>
      <c r="Z34" s="51"/>
      <c r="AA34" s="50"/>
      <c r="AB34" s="51"/>
      <c r="AC34" s="9"/>
      <c r="AD34" s="1"/>
      <c r="AE34" s="1"/>
      <c r="AF34" s="1"/>
      <c r="AU34" s="2">
        <f>ROUND(+A45*C45,0)</f>
        <v>0</v>
      </c>
    </row>
    <row r="35" spans="1:47" ht="15.45" x14ac:dyDescent="0.4">
      <c r="A35" s="97" t="s">
        <v>20</v>
      </c>
      <c r="B35" s="93"/>
      <c r="C35" s="112"/>
      <c r="D35" s="116"/>
      <c r="E35" s="116"/>
      <c r="F35" s="95"/>
      <c r="G35" s="116"/>
      <c r="H35" s="107"/>
      <c r="I35" s="39"/>
      <c r="J35" s="39"/>
      <c r="K35" s="39"/>
      <c r="L35" s="39"/>
      <c r="M35" s="39"/>
      <c r="N35" s="39"/>
      <c r="O35" s="39"/>
      <c r="P35" s="39"/>
      <c r="Q35" s="39"/>
      <c r="R35" s="39"/>
      <c r="S35" s="39"/>
      <c r="T35" s="39"/>
      <c r="U35" s="39"/>
      <c r="V35" s="39"/>
      <c r="W35" s="39"/>
      <c r="X35" s="39"/>
      <c r="Y35" s="39"/>
      <c r="Z35" s="39"/>
      <c r="AA35" s="38"/>
      <c r="AB35" s="39"/>
      <c r="AC35" s="10"/>
      <c r="AD35" s="1"/>
      <c r="AE35" s="1"/>
      <c r="AF35" s="1"/>
      <c r="AU35" s="6">
        <f>G23</f>
        <v>0</v>
      </c>
    </row>
    <row r="36" spans="1:47" ht="15.45" x14ac:dyDescent="0.4">
      <c r="A36" s="102"/>
      <c r="B36" s="117"/>
      <c r="C36" s="93"/>
      <c r="D36" s="93"/>
      <c r="E36" s="93"/>
      <c r="F36" s="108"/>
      <c r="G36" s="108"/>
      <c r="H36" s="107"/>
      <c r="I36" s="53"/>
      <c r="J36" s="53"/>
      <c r="K36" s="53"/>
      <c r="L36" s="53"/>
      <c r="M36" s="53"/>
      <c r="N36" s="53"/>
      <c r="O36" s="53"/>
      <c r="P36" s="53"/>
      <c r="Q36" s="53"/>
      <c r="R36" s="53"/>
      <c r="S36" s="53"/>
      <c r="T36" s="53"/>
      <c r="U36" s="53"/>
      <c r="V36" s="53"/>
      <c r="W36" s="53"/>
      <c r="X36" s="53"/>
      <c r="Y36" s="53"/>
      <c r="Z36" s="53"/>
      <c r="AA36" s="52"/>
      <c r="AB36" s="53"/>
      <c r="AC36" s="10"/>
      <c r="AD36" s="10"/>
      <c r="AE36" s="1"/>
      <c r="AF36" s="1"/>
      <c r="AU36" s="2">
        <f>ROUND(E45*G45,2)</f>
        <v>0</v>
      </c>
    </row>
    <row r="37" spans="1:47" ht="15.45" x14ac:dyDescent="0.4">
      <c r="A37" s="97" t="s">
        <v>21</v>
      </c>
      <c r="B37" s="103"/>
      <c r="C37" s="133"/>
      <c r="D37" s="103"/>
      <c r="E37" s="134"/>
      <c r="F37" s="93"/>
      <c r="G37" s="125"/>
      <c r="H37" s="135"/>
      <c r="I37" s="53"/>
      <c r="J37" s="53"/>
      <c r="K37" s="53"/>
      <c r="L37" s="53"/>
      <c r="M37" s="53"/>
      <c r="N37" s="53"/>
      <c r="O37" s="53"/>
      <c r="P37" s="53"/>
      <c r="Q37" s="53"/>
      <c r="R37" s="53"/>
      <c r="S37" s="53"/>
      <c r="T37" s="53"/>
      <c r="U37" s="53"/>
      <c r="V37" s="53"/>
      <c r="W37" s="53"/>
      <c r="X37" s="53"/>
      <c r="Y37" s="53"/>
      <c r="Z37" s="53"/>
      <c r="AA37" s="39" t="s">
        <v>55</v>
      </c>
      <c r="AB37" s="39" t="s">
        <v>9</v>
      </c>
      <c r="AC37" s="10"/>
      <c r="AD37" s="10"/>
      <c r="AE37" s="10"/>
      <c r="AF37" s="1"/>
      <c r="AU37" s="3">
        <f>AU32</f>
        <v>0</v>
      </c>
    </row>
    <row r="38" spans="1:47" ht="15.45" x14ac:dyDescent="0.4">
      <c r="A38" s="136" t="s">
        <v>22</v>
      </c>
      <c r="B38" s="103"/>
      <c r="C38" s="105" t="s">
        <v>23</v>
      </c>
      <c r="D38" s="103"/>
      <c r="E38" s="105" t="s">
        <v>24</v>
      </c>
      <c r="F38" s="93"/>
      <c r="G38" s="105" t="s">
        <v>25</v>
      </c>
      <c r="H38" s="120" t="s">
        <v>26</v>
      </c>
      <c r="I38" s="53"/>
      <c r="J38" s="53"/>
      <c r="K38" s="53"/>
      <c r="L38" s="53"/>
      <c r="M38" s="53"/>
      <c r="N38" s="53"/>
      <c r="O38" s="53"/>
      <c r="P38" s="53"/>
      <c r="Q38" s="53"/>
      <c r="R38" s="53"/>
      <c r="S38" s="53"/>
      <c r="T38" s="53"/>
      <c r="U38" s="53"/>
      <c r="V38" s="53"/>
      <c r="W38" s="53"/>
      <c r="X38" s="53"/>
      <c r="Y38" s="53"/>
      <c r="Z38" s="53"/>
      <c r="AA38" s="52"/>
      <c r="AB38" s="53"/>
      <c r="AC38" s="9"/>
      <c r="AD38" s="10"/>
      <c r="AE38" s="10"/>
      <c r="AF38" s="1"/>
      <c r="AU38" s="2">
        <f>C13</f>
        <v>3.3</v>
      </c>
    </row>
    <row r="39" spans="1:47" ht="15.45" x14ac:dyDescent="0.4">
      <c r="A39" s="137">
        <f>AU17</f>
        <v>9617.7199999999993</v>
      </c>
      <c r="B39" s="94" t="s">
        <v>27</v>
      </c>
      <c r="C39" s="138">
        <f>AU18</f>
        <v>4.28</v>
      </c>
      <c r="D39" s="94" t="s">
        <v>28</v>
      </c>
      <c r="E39" s="139">
        <f>AU19</f>
        <v>41164</v>
      </c>
      <c r="F39" s="93"/>
      <c r="G39" s="140">
        <f>AU20</f>
        <v>13.2881</v>
      </c>
      <c r="H39" s="141">
        <f>AU21</f>
        <v>546991.35</v>
      </c>
      <c r="I39" s="27"/>
      <c r="J39" s="27"/>
      <c r="K39" s="27"/>
      <c r="L39" s="27"/>
      <c r="M39" s="27"/>
      <c r="N39" s="27"/>
      <c r="O39" s="27"/>
      <c r="P39" s="27"/>
      <c r="Q39" s="27"/>
      <c r="R39" s="27"/>
      <c r="S39" s="27"/>
      <c r="T39" s="27"/>
      <c r="U39" s="27"/>
      <c r="V39" s="27"/>
      <c r="W39" s="27"/>
      <c r="X39" s="27"/>
      <c r="Y39" s="27"/>
      <c r="Z39" s="27"/>
      <c r="AA39" s="26">
        <f>H39/$C$4</f>
        <v>5575.8547400611624</v>
      </c>
      <c r="AB39" s="27">
        <f>H39/$H$7</f>
        <v>56.873263362516958</v>
      </c>
      <c r="AC39" s="10"/>
      <c r="AD39" s="10"/>
      <c r="AE39" s="10"/>
      <c r="AF39" s="1"/>
      <c r="AU39" s="2">
        <f>ROUND(+A46*C46,0)</f>
        <v>0</v>
      </c>
    </row>
    <row r="40" spans="1:47" ht="15.45" x14ac:dyDescent="0.4">
      <c r="A40" s="137">
        <f>AU22</f>
        <v>9617.7199999999993</v>
      </c>
      <c r="B40" s="94" t="s">
        <v>29</v>
      </c>
      <c r="C40" s="138">
        <f>AU23</f>
        <v>3.3</v>
      </c>
      <c r="D40" s="94" t="s">
        <v>28</v>
      </c>
      <c r="E40" s="139">
        <f>AU24</f>
        <v>31738</v>
      </c>
      <c r="F40" s="108"/>
      <c r="G40" s="140">
        <f>AU25</f>
        <v>9.8468</v>
      </c>
      <c r="H40" s="141">
        <f>AU26</f>
        <v>312517.74</v>
      </c>
      <c r="I40" s="35"/>
      <c r="J40" s="35"/>
      <c r="K40" s="35"/>
      <c r="L40" s="35"/>
      <c r="M40" s="35"/>
      <c r="N40" s="35"/>
      <c r="O40" s="35"/>
      <c r="P40" s="35"/>
      <c r="Q40" s="35"/>
      <c r="R40" s="35"/>
      <c r="S40" s="35"/>
      <c r="T40" s="35"/>
      <c r="U40" s="35"/>
      <c r="V40" s="35"/>
      <c r="W40" s="35"/>
      <c r="X40" s="35"/>
      <c r="Y40" s="35"/>
      <c r="Z40" s="35"/>
      <c r="AA40" s="26">
        <f>H40/$C$4</f>
        <v>3185.7058103975537</v>
      </c>
      <c r="AB40" s="27">
        <f>H40/$H$7</f>
        <v>32.493939314540533</v>
      </c>
      <c r="AC40" s="10"/>
      <c r="AD40" s="10"/>
      <c r="AE40" s="10"/>
      <c r="AF40" s="1"/>
      <c r="AU40" s="6">
        <f>G24</f>
        <v>0</v>
      </c>
    </row>
    <row r="41" spans="1:47" ht="15.45" x14ac:dyDescent="0.4">
      <c r="A41" s="137">
        <f>AU27</f>
        <v>9617.7199999999993</v>
      </c>
      <c r="B41" s="94" t="s">
        <v>30</v>
      </c>
      <c r="C41" s="138">
        <f>AU28</f>
        <v>5.94</v>
      </c>
      <c r="D41" s="94" t="s">
        <v>28</v>
      </c>
      <c r="E41" s="139">
        <f>AU29</f>
        <v>57129</v>
      </c>
      <c r="F41" s="108"/>
      <c r="G41" s="140">
        <f>AU30</f>
        <v>1.0062</v>
      </c>
      <c r="H41" s="141">
        <f>AU31</f>
        <v>57483.199999999997</v>
      </c>
      <c r="I41" s="39"/>
      <c r="J41" s="39"/>
      <c r="K41" s="39"/>
      <c r="L41" s="39"/>
      <c r="M41" s="39"/>
      <c r="N41" s="39"/>
      <c r="O41" s="39"/>
      <c r="P41" s="39"/>
      <c r="Q41" s="39"/>
      <c r="R41" s="39"/>
      <c r="S41" s="39"/>
      <c r="T41" s="39"/>
      <c r="U41" s="39"/>
      <c r="V41" s="39"/>
      <c r="W41" s="39"/>
      <c r="X41" s="39"/>
      <c r="Y41" s="39"/>
      <c r="Z41" s="39"/>
      <c r="AA41" s="26">
        <f>H41/$C$4</f>
        <v>585.96534148827732</v>
      </c>
      <c r="AB41" s="27">
        <f>H41/$H$7</f>
        <v>5.9767986687910781</v>
      </c>
      <c r="AC41" s="1"/>
      <c r="AD41" s="1"/>
      <c r="AE41" s="10"/>
      <c r="AF41" s="1"/>
      <c r="AU41" s="2">
        <f>ROUND(E46*G46,2)</f>
        <v>0</v>
      </c>
    </row>
    <row r="42" spans="1:47" ht="15.45" x14ac:dyDescent="0.4">
      <c r="A42" s="142"/>
      <c r="B42" s="93"/>
      <c r="C42" s="93"/>
      <c r="D42" s="93"/>
      <c r="E42" s="93"/>
      <c r="F42" s="93"/>
      <c r="G42" s="93"/>
      <c r="H42" s="104"/>
      <c r="I42" s="53"/>
      <c r="J42" s="53"/>
      <c r="K42" s="53"/>
      <c r="L42" s="53"/>
      <c r="M42" s="53"/>
      <c r="N42" s="53"/>
      <c r="O42" s="53"/>
      <c r="P42" s="53"/>
      <c r="Q42" s="53"/>
      <c r="R42" s="53"/>
      <c r="S42" s="53"/>
      <c r="T42" s="53"/>
      <c r="U42" s="53"/>
      <c r="V42" s="53"/>
      <c r="W42" s="53"/>
      <c r="X42" s="53"/>
      <c r="Y42" s="53"/>
      <c r="Z42" s="53"/>
      <c r="AA42" s="52"/>
      <c r="AB42" s="53"/>
      <c r="AC42" s="9"/>
      <c r="AD42" s="1"/>
      <c r="AE42" s="10"/>
      <c r="AF42" s="1"/>
      <c r="AU42" s="3">
        <f>AU32</f>
        <v>0</v>
      </c>
    </row>
    <row r="43" spans="1:47" ht="15.45" x14ac:dyDescent="0.4">
      <c r="A43" s="143" t="s">
        <v>180</v>
      </c>
      <c r="B43" s="103"/>
      <c r="C43" s="133"/>
      <c r="D43" s="93"/>
      <c r="E43" s="103"/>
      <c r="F43" s="93"/>
      <c r="G43" s="93"/>
      <c r="H43" s="107"/>
      <c r="I43" s="53"/>
      <c r="J43" s="53"/>
      <c r="K43" s="53"/>
      <c r="L43" s="53"/>
      <c r="M43" s="53"/>
      <c r="N43" s="53"/>
      <c r="O43" s="53"/>
      <c r="P43" s="53"/>
      <c r="Q43" s="53"/>
      <c r="R43" s="53"/>
      <c r="S43" s="53"/>
      <c r="T43" s="53"/>
      <c r="U43" s="53"/>
      <c r="V43" s="53"/>
      <c r="W43" s="53"/>
      <c r="X43" s="53"/>
      <c r="Y43" s="53"/>
      <c r="Z43" s="53"/>
      <c r="AA43" s="52"/>
      <c r="AB43" s="53"/>
      <c r="AC43" s="9"/>
      <c r="AD43" s="1"/>
      <c r="AE43" s="1"/>
      <c r="AF43" s="1"/>
      <c r="AU43" s="2">
        <f>C14</f>
        <v>5.94</v>
      </c>
    </row>
    <row r="44" spans="1:47" ht="15.45" x14ac:dyDescent="0.4">
      <c r="A44" s="137" t="s">
        <v>22</v>
      </c>
      <c r="B44" s="103"/>
      <c r="C44" s="105" t="s">
        <v>23</v>
      </c>
      <c r="D44" s="105"/>
      <c r="E44" s="105" t="s">
        <v>24</v>
      </c>
      <c r="F44" s="144"/>
      <c r="G44" s="105" t="s">
        <v>25</v>
      </c>
      <c r="H44" s="120" t="s">
        <v>26</v>
      </c>
      <c r="I44" s="53"/>
      <c r="J44" s="53"/>
      <c r="K44" s="53"/>
      <c r="L44" s="53"/>
      <c r="M44" s="53"/>
      <c r="N44" s="53"/>
      <c r="O44" s="53"/>
      <c r="P44" s="53"/>
      <c r="Q44" s="53"/>
      <c r="R44" s="53"/>
      <c r="S44" s="53"/>
      <c r="T44" s="53"/>
      <c r="U44" s="53"/>
      <c r="V44" s="53"/>
      <c r="W44" s="53"/>
      <c r="X44" s="53"/>
      <c r="Y44" s="53"/>
      <c r="Z44" s="53"/>
      <c r="AA44" s="52"/>
      <c r="AB44" s="53"/>
      <c r="AC44" s="1"/>
      <c r="AD44" s="1"/>
      <c r="AE44" s="1"/>
      <c r="AF44" s="1"/>
      <c r="AU44" s="2">
        <f>ROUND(+A47*C47,0)</f>
        <v>0</v>
      </c>
    </row>
    <row r="45" spans="1:47" ht="15.45" x14ac:dyDescent="0.4">
      <c r="A45" s="137">
        <f>AU32</f>
        <v>0</v>
      </c>
      <c r="B45" s="94" t="s">
        <v>27</v>
      </c>
      <c r="C45" s="138">
        <f>AU33</f>
        <v>4.28</v>
      </c>
      <c r="D45" s="94" t="s">
        <v>28</v>
      </c>
      <c r="E45" s="139">
        <f>AU34</f>
        <v>0</v>
      </c>
      <c r="F45" s="93"/>
      <c r="G45" s="140">
        <f>AU35</f>
        <v>0</v>
      </c>
      <c r="H45" s="141">
        <f>AU36</f>
        <v>0</v>
      </c>
      <c r="I45" s="35"/>
      <c r="J45" s="35"/>
      <c r="K45" s="35"/>
      <c r="L45" s="35"/>
      <c r="M45" s="35"/>
      <c r="N45" s="35"/>
      <c r="O45" s="35"/>
      <c r="P45" s="35"/>
      <c r="Q45" s="35"/>
      <c r="R45" s="35"/>
      <c r="S45" s="35"/>
      <c r="T45" s="35"/>
      <c r="U45" s="35"/>
      <c r="V45" s="35"/>
      <c r="W45" s="35"/>
      <c r="X45" s="35"/>
      <c r="Y45" s="35"/>
      <c r="Z45" s="35"/>
      <c r="AA45" s="26">
        <f>H45/$C$4</f>
        <v>0</v>
      </c>
      <c r="AB45" s="27">
        <f>H45/$H$7</f>
        <v>0</v>
      </c>
      <c r="AC45" s="9"/>
      <c r="AD45" s="1"/>
      <c r="AE45" s="1"/>
      <c r="AF45" s="1"/>
      <c r="AU45" s="6">
        <f>G25</f>
        <v>0</v>
      </c>
    </row>
    <row r="46" spans="1:47" ht="15.45" x14ac:dyDescent="0.4">
      <c r="A46" s="137">
        <f>AU37</f>
        <v>0</v>
      </c>
      <c r="B46" s="94" t="s">
        <v>29</v>
      </c>
      <c r="C46" s="138">
        <f>AU38</f>
        <v>3.3</v>
      </c>
      <c r="D46" s="94" t="s">
        <v>28</v>
      </c>
      <c r="E46" s="139">
        <f>AU39</f>
        <v>0</v>
      </c>
      <c r="F46" s="93"/>
      <c r="G46" s="140">
        <f>AU40</f>
        <v>0</v>
      </c>
      <c r="H46" s="141">
        <f>AU41</f>
        <v>0</v>
      </c>
      <c r="I46" s="53"/>
      <c r="J46" s="53"/>
      <c r="K46" s="53"/>
      <c r="L46" s="53"/>
      <c r="M46" s="53"/>
      <c r="N46" s="53"/>
      <c r="O46" s="53"/>
      <c r="P46" s="53"/>
      <c r="Q46" s="53"/>
      <c r="R46" s="53"/>
      <c r="S46" s="53"/>
      <c r="T46" s="53"/>
      <c r="U46" s="53"/>
      <c r="V46" s="53"/>
      <c r="W46" s="53"/>
      <c r="X46" s="53"/>
      <c r="Y46" s="53"/>
      <c r="Z46" s="53"/>
      <c r="AA46" s="26">
        <f>H46/$C$4</f>
        <v>0</v>
      </c>
      <c r="AB46" s="27">
        <f>H46/$H$7</f>
        <v>0</v>
      </c>
      <c r="AC46" s="9"/>
      <c r="AD46" s="1"/>
      <c r="AE46" s="10"/>
      <c r="AF46" s="1"/>
      <c r="AU46" s="2">
        <f>ROUND(E47*G47,2)</f>
        <v>0</v>
      </c>
    </row>
    <row r="47" spans="1:47" ht="15.45" x14ac:dyDescent="0.4">
      <c r="A47" s="137">
        <f>AU42</f>
        <v>0</v>
      </c>
      <c r="B47" s="94" t="s">
        <v>30</v>
      </c>
      <c r="C47" s="138">
        <f>AU43</f>
        <v>5.94</v>
      </c>
      <c r="D47" s="94" t="s">
        <v>28</v>
      </c>
      <c r="E47" s="139">
        <f>AU44</f>
        <v>0</v>
      </c>
      <c r="F47" s="95"/>
      <c r="G47" s="140">
        <f>AU45</f>
        <v>0</v>
      </c>
      <c r="H47" s="141">
        <f>AU46</f>
        <v>0</v>
      </c>
      <c r="I47" s="53"/>
      <c r="J47" s="53"/>
      <c r="K47" s="53"/>
      <c r="L47" s="53"/>
      <c r="M47" s="53"/>
      <c r="N47" s="53"/>
      <c r="O47" s="53"/>
      <c r="P47" s="53"/>
      <c r="Q47" s="53"/>
      <c r="R47" s="53"/>
      <c r="S47" s="53"/>
      <c r="T47" s="53"/>
      <c r="U47" s="53"/>
      <c r="V47" s="53"/>
      <c r="W47" s="53"/>
      <c r="X47" s="53"/>
      <c r="Y47" s="53"/>
      <c r="Z47" s="53"/>
      <c r="AA47" s="26">
        <f>H47/$C$4</f>
        <v>0</v>
      </c>
      <c r="AB47" s="27">
        <f>H47/$H$7</f>
        <v>0</v>
      </c>
      <c r="AC47" s="9"/>
      <c r="AD47" s="1"/>
      <c r="AE47" s="1"/>
      <c r="AF47" s="1"/>
      <c r="AU47" s="11">
        <f>SUM(H39:H41,H45:H47)</f>
        <v>916992.28999999992</v>
      </c>
    </row>
    <row r="48" spans="1:47" ht="15.45" x14ac:dyDescent="0.4">
      <c r="A48" s="137"/>
      <c r="B48" s="94"/>
      <c r="C48" s="138"/>
      <c r="D48" s="94"/>
      <c r="E48" s="139"/>
      <c r="F48" s="95"/>
      <c r="G48" s="140"/>
      <c r="H48" s="141"/>
      <c r="I48" s="53"/>
      <c r="J48" s="53"/>
      <c r="K48" s="53"/>
      <c r="L48" s="53"/>
      <c r="M48" s="53"/>
      <c r="N48" s="53"/>
      <c r="O48" s="53"/>
      <c r="P48" s="53"/>
      <c r="Q48" s="53"/>
      <c r="R48" s="53"/>
      <c r="S48" s="53"/>
      <c r="T48" s="53"/>
      <c r="U48" s="53"/>
      <c r="V48" s="53"/>
      <c r="W48" s="53"/>
      <c r="X48" s="53"/>
      <c r="Y48" s="53"/>
      <c r="Z48" s="53"/>
      <c r="AA48" s="26"/>
      <c r="AB48" s="27"/>
      <c r="AC48" s="9"/>
      <c r="AD48" s="1"/>
      <c r="AE48" s="1"/>
      <c r="AF48" s="1"/>
      <c r="AU48" s="11"/>
    </row>
    <row r="49" spans="1:47" ht="15.45" x14ac:dyDescent="0.4">
      <c r="A49" s="137"/>
      <c r="B49" s="94"/>
      <c r="C49" s="138" t="s">
        <v>199</v>
      </c>
      <c r="D49" s="94"/>
      <c r="E49" s="139" t="s">
        <v>198</v>
      </c>
      <c r="F49" s="95"/>
      <c r="G49" s="140"/>
      <c r="H49" s="120" t="s">
        <v>26</v>
      </c>
      <c r="I49" s="53"/>
      <c r="J49" s="53"/>
      <c r="K49" s="53"/>
      <c r="L49" s="53"/>
      <c r="M49" s="53"/>
      <c r="N49" s="53"/>
      <c r="O49" s="53"/>
      <c r="P49" s="53"/>
      <c r="Q49" s="53"/>
      <c r="R49" s="53"/>
      <c r="S49" s="53"/>
      <c r="T49" s="53"/>
      <c r="U49" s="53"/>
      <c r="V49" s="53"/>
      <c r="W49" s="53"/>
      <c r="X49" s="53"/>
      <c r="Y49" s="53"/>
      <c r="Z49" s="53"/>
      <c r="AA49" s="26"/>
      <c r="AB49" s="27"/>
      <c r="AC49" s="9"/>
      <c r="AD49" s="1"/>
      <c r="AE49" s="1"/>
      <c r="AF49" s="1"/>
      <c r="AU49" s="11"/>
    </row>
    <row r="50" spans="1:47" ht="15.45" x14ac:dyDescent="0.4">
      <c r="A50" s="145" t="s">
        <v>194</v>
      </c>
      <c r="B50" s="93"/>
      <c r="C50" s="146">
        <f>(C13+C14)/C12</f>
        <v>2.1588785046728973</v>
      </c>
      <c r="D50" s="147"/>
      <c r="E50" s="148">
        <f>C15</f>
        <v>2.2839999999999998</v>
      </c>
      <c r="F50" s="94"/>
      <c r="G50" s="149"/>
      <c r="H50" s="141">
        <f>-AA51*C24-AA52*C25</f>
        <v>0</v>
      </c>
      <c r="I50" s="53"/>
      <c r="J50" s="53"/>
      <c r="K50" s="53"/>
      <c r="L50" s="53"/>
      <c r="M50" s="53"/>
      <c r="N50" s="53"/>
      <c r="O50" s="53"/>
      <c r="P50" s="53"/>
      <c r="Q50" s="53"/>
      <c r="R50" s="53"/>
      <c r="S50" s="53"/>
      <c r="T50" s="53"/>
      <c r="U50" s="53"/>
      <c r="V50" s="53"/>
      <c r="W50" s="53"/>
      <c r="X50" s="53"/>
      <c r="Y50" s="53"/>
      <c r="Z50" s="53"/>
      <c r="AA50" s="52">
        <f>C15*E39</f>
        <v>94018.575999999986</v>
      </c>
      <c r="AB50" s="79" t="s">
        <v>195</v>
      </c>
      <c r="AC50" s="1"/>
      <c r="AD50" s="1"/>
      <c r="AE50" s="1"/>
      <c r="AF50" s="1"/>
      <c r="AU50" s="11">
        <f>E39</f>
        <v>41164</v>
      </c>
    </row>
    <row r="51" spans="1:47" ht="15.45" x14ac:dyDescent="0.4">
      <c r="A51" s="111"/>
      <c r="B51" s="93"/>
      <c r="C51" s="94"/>
      <c r="D51" s="112"/>
      <c r="E51" s="139"/>
      <c r="F51" s="94"/>
      <c r="G51" s="149"/>
      <c r="H51" s="141"/>
      <c r="I51" s="53"/>
      <c r="J51" s="53"/>
      <c r="K51" s="53"/>
      <c r="L51" s="53"/>
      <c r="M51" s="53"/>
      <c r="N51" s="53"/>
      <c r="O51" s="53"/>
      <c r="P51" s="53"/>
      <c r="Q51" s="53"/>
      <c r="R51" s="53"/>
      <c r="S51" s="53"/>
      <c r="T51" s="53"/>
      <c r="U51" s="53"/>
      <c r="V51" s="53"/>
      <c r="W51" s="53"/>
      <c r="X51" s="53"/>
      <c r="Y51" s="53"/>
      <c r="Z51" s="53"/>
      <c r="AA51" s="82">
        <f>IF(C50&gt;C15,E40-($E$39*E50)*E40/($E$40+$E$41),0)</f>
        <v>0</v>
      </c>
      <c r="AB51" s="80" t="s">
        <v>196</v>
      </c>
      <c r="AC51" s="1"/>
      <c r="AD51" s="83">
        <f>AA51*C24</f>
        <v>0</v>
      </c>
      <c r="AE51" s="1"/>
      <c r="AF51" s="1"/>
      <c r="AU51" s="11"/>
    </row>
    <row r="52" spans="1:47" ht="15.45" x14ac:dyDescent="0.4">
      <c r="A52" s="111"/>
      <c r="B52" s="93"/>
      <c r="C52" s="94" t="s">
        <v>31</v>
      </c>
      <c r="D52" s="93"/>
      <c r="E52" s="93"/>
      <c r="F52" s="93"/>
      <c r="G52" s="93"/>
      <c r="H52" s="141">
        <f>AU47+H50</f>
        <v>916992.28999999992</v>
      </c>
      <c r="I52" s="27"/>
      <c r="J52" s="27"/>
      <c r="K52" s="27"/>
      <c r="L52" s="27"/>
      <c r="M52" s="27"/>
      <c r="N52" s="27"/>
      <c r="O52" s="27"/>
      <c r="P52" s="27"/>
      <c r="Q52" s="27"/>
      <c r="R52" s="27"/>
      <c r="S52" s="27"/>
      <c r="T52" s="27"/>
      <c r="U52" s="27"/>
      <c r="V52" s="27"/>
      <c r="W52" s="27"/>
      <c r="X52" s="27"/>
      <c r="Y52" s="27"/>
      <c r="Z52" s="27"/>
      <c r="AA52" s="82">
        <f>IF(C50&gt;C15,E41-($E$39*E50)*E41/($E$40+$E$41),0)</f>
        <v>0</v>
      </c>
      <c r="AB52" s="81" t="s">
        <v>197</v>
      </c>
      <c r="AC52" s="9"/>
      <c r="AD52" s="83">
        <f>AA52*C25</f>
        <v>0</v>
      </c>
      <c r="AE52" s="1"/>
      <c r="AU52" s="12">
        <f>C17</f>
        <v>0</v>
      </c>
    </row>
    <row r="53" spans="1:47" ht="15.45" x14ac:dyDescent="0.4">
      <c r="A53" s="111"/>
      <c r="B53" s="93"/>
      <c r="C53" s="93"/>
      <c r="D53" s="93"/>
      <c r="E53" s="93"/>
      <c r="F53" s="93"/>
      <c r="G53" s="93"/>
      <c r="H53" s="104"/>
      <c r="I53" s="27"/>
      <c r="J53" s="27"/>
      <c r="K53" s="27"/>
      <c r="L53" s="27"/>
      <c r="M53" s="27"/>
      <c r="N53" s="27"/>
      <c r="O53" s="27"/>
      <c r="P53" s="27"/>
      <c r="Q53" s="27"/>
      <c r="R53" s="27"/>
      <c r="S53" s="27"/>
      <c r="T53" s="27"/>
      <c r="U53" s="27"/>
      <c r="V53" s="27"/>
      <c r="W53" s="27"/>
      <c r="X53" s="27"/>
      <c r="Y53" s="27"/>
      <c r="Z53" s="27"/>
      <c r="AA53" s="84">
        <f>H50/$C$4</f>
        <v>0</v>
      </c>
      <c r="AB53" s="27">
        <f>H50/$H$7</f>
        <v>0</v>
      </c>
      <c r="AC53" s="9"/>
      <c r="AD53" s="1"/>
      <c r="AE53" s="1"/>
      <c r="AF53" s="1"/>
      <c r="AU53" s="2">
        <f>ROUND(+E50*G50,2)</f>
        <v>0</v>
      </c>
    </row>
    <row r="54" spans="1:47" ht="15.45" x14ac:dyDescent="0.4">
      <c r="A54" s="97" t="s">
        <v>32</v>
      </c>
      <c r="B54" s="93"/>
      <c r="C54" s="94" t="s">
        <v>8</v>
      </c>
      <c r="D54" s="112"/>
      <c r="E54" s="144">
        <f>AU55</f>
        <v>9617.7199999999993</v>
      </c>
      <c r="F54" s="105" t="s">
        <v>33</v>
      </c>
      <c r="G54" s="150">
        <f>AU56</f>
        <v>3.92</v>
      </c>
      <c r="H54" s="141">
        <f>AU57</f>
        <v>37701.46</v>
      </c>
      <c r="I54" s="27"/>
      <c r="J54" s="27"/>
      <c r="K54" s="27"/>
      <c r="L54" s="27"/>
      <c r="M54" s="27"/>
      <c r="N54" s="27"/>
      <c r="O54" s="27"/>
      <c r="P54" s="27"/>
      <c r="Q54" s="27"/>
      <c r="R54" s="27"/>
      <c r="S54" s="27"/>
      <c r="T54" s="27"/>
      <c r="U54" s="27"/>
      <c r="V54" s="27"/>
      <c r="W54" s="27"/>
      <c r="X54" s="27"/>
      <c r="Y54" s="27"/>
      <c r="Z54" s="27"/>
      <c r="AA54" s="26">
        <f t="shared" ref="AA54:AA59" si="0">H54/$C$4</f>
        <v>384.31661569826707</v>
      </c>
      <c r="AB54" s="27">
        <f t="shared" ref="AB54:AB59" si="1">H54/$H$7</f>
        <v>3.9199981201373637</v>
      </c>
      <c r="AC54" s="1"/>
      <c r="AD54" s="1"/>
      <c r="AE54" s="1"/>
      <c r="AF54" s="1"/>
      <c r="AU54" s="11">
        <f>SUM(H50:H50)</f>
        <v>0</v>
      </c>
    </row>
    <row r="55" spans="1:47" ht="15.45" x14ac:dyDescent="0.4">
      <c r="A55" s="102"/>
      <c r="B55" s="93"/>
      <c r="C55" s="94" t="s">
        <v>10</v>
      </c>
      <c r="D55" s="93"/>
      <c r="E55" s="144">
        <f>AU58</f>
        <v>9617.7199999999993</v>
      </c>
      <c r="F55" s="105" t="s">
        <v>33</v>
      </c>
      <c r="G55" s="150">
        <f>AU59</f>
        <v>0.67500000000000004</v>
      </c>
      <c r="H55" s="141">
        <f>AU60</f>
        <v>6491.96</v>
      </c>
      <c r="I55" s="27"/>
      <c r="J55" s="27"/>
      <c r="K55" s="27"/>
      <c r="L55" s="27"/>
      <c r="M55" s="27"/>
      <c r="N55" s="27"/>
      <c r="O55" s="27"/>
      <c r="P55" s="27"/>
      <c r="Q55" s="27"/>
      <c r="R55" s="27"/>
      <c r="S55" s="27"/>
      <c r="T55" s="27"/>
      <c r="U55" s="27"/>
      <c r="V55" s="27"/>
      <c r="W55" s="27"/>
      <c r="X55" s="27"/>
      <c r="Y55" s="27"/>
      <c r="Z55" s="27"/>
      <c r="AA55" s="26">
        <f t="shared" si="0"/>
        <v>66.176962283384313</v>
      </c>
      <c r="AB55" s="27">
        <f t="shared" si="1"/>
        <v>0.67499961529359764</v>
      </c>
      <c r="AC55" s="1"/>
      <c r="AD55" s="1"/>
      <c r="AE55" s="1"/>
      <c r="AF55" s="1"/>
      <c r="AU55" s="13">
        <f>A39+A45</f>
        <v>9617.7199999999993</v>
      </c>
    </row>
    <row r="56" spans="1:47" ht="15.45" x14ac:dyDescent="0.4">
      <c r="A56" s="111"/>
      <c r="B56" s="93"/>
      <c r="C56" s="94" t="s">
        <v>177</v>
      </c>
      <c r="D56" s="151"/>
      <c r="E56" s="144">
        <f>AU61</f>
        <v>9617.7199999999993</v>
      </c>
      <c r="F56" s="105" t="s">
        <v>33</v>
      </c>
      <c r="G56" s="150">
        <f>AU62</f>
        <v>1.4</v>
      </c>
      <c r="H56" s="141">
        <f>AU63</f>
        <v>13464.81</v>
      </c>
      <c r="I56" s="53"/>
      <c r="J56" s="53"/>
      <c r="K56" s="53"/>
      <c r="L56" s="53"/>
      <c r="M56" s="53"/>
      <c r="N56" s="53"/>
      <c r="O56" s="53"/>
      <c r="P56" s="53"/>
      <c r="Q56" s="53"/>
      <c r="R56" s="53"/>
      <c r="S56" s="53"/>
      <c r="T56" s="53"/>
      <c r="U56" s="53"/>
      <c r="V56" s="53"/>
      <c r="W56" s="53"/>
      <c r="X56" s="53"/>
      <c r="Y56" s="53"/>
      <c r="Z56" s="53"/>
      <c r="AA56" s="26">
        <f t="shared" si="0"/>
        <v>137.25596330275229</v>
      </c>
      <c r="AB56" s="27">
        <f t="shared" si="1"/>
        <v>1.3999996256910681</v>
      </c>
      <c r="AC56" s="1"/>
      <c r="AD56" s="1"/>
      <c r="AE56" s="1"/>
      <c r="AF56" s="1"/>
      <c r="AU56" s="14">
        <f>G10</f>
        <v>3.92</v>
      </c>
    </row>
    <row r="57" spans="1:47" ht="15.45" x14ac:dyDescent="0.4">
      <c r="A57" s="111"/>
      <c r="B57" s="93"/>
      <c r="C57" s="94" t="s">
        <v>176</v>
      </c>
      <c r="D57" s="151"/>
      <c r="E57" s="144">
        <f>AU61</f>
        <v>9617.7199999999993</v>
      </c>
      <c r="F57" s="105" t="s">
        <v>33</v>
      </c>
      <c r="G57" s="150">
        <f>AU64</f>
        <v>0.05</v>
      </c>
      <c r="H57" s="141">
        <f>AU65</f>
        <v>480.88599999999997</v>
      </c>
      <c r="I57" s="53"/>
      <c r="J57" s="53"/>
      <c r="K57" s="53"/>
      <c r="L57" s="53"/>
      <c r="M57" s="53"/>
      <c r="N57" s="53"/>
      <c r="O57" s="53"/>
      <c r="P57" s="53"/>
      <c r="Q57" s="53"/>
      <c r="R57" s="53"/>
      <c r="S57" s="53"/>
      <c r="T57" s="53"/>
      <c r="U57" s="53"/>
      <c r="V57" s="53"/>
      <c r="W57" s="53"/>
      <c r="X57" s="53"/>
      <c r="Y57" s="53"/>
      <c r="Z57" s="53"/>
      <c r="AA57" s="26">
        <f t="shared" si="0"/>
        <v>4.9019979612640165</v>
      </c>
      <c r="AB57" s="27">
        <f t="shared" si="1"/>
        <v>4.9999979205059331E-2</v>
      </c>
      <c r="AC57" s="9"/>
      <c r="AD57" s="1"/>
      <c r="AE57" s="1"/>
      <c r="AF57" s="1"/>
      <c r="AU57" s="2">
        <f>MAX(ROUND(E54*G54,2),(+G15*181))</f>
        <v>37701.46</v>
      </c>
    </row>
    <row r="58" spans="1:47" ht="15.45" x14ac:dyDescent="0.4">
      <c r="A58" s="111"/>
      <c r="B58" s="93"/>
      <c r="C58" s="94" t="s">
        <v>208</v>
      </c>
      <c r="D58" s="93"/>
      <c r="E58" s="144">
        <f>AU66</f>
        <v>9617.7199999999993</v>
      </c>
      <c r="F58" s="105" t="s">
        <v>33</v>
      </c>
      <c r="G58" s="150">
        <f>AU67</f>
        <v>0.06</v>
      </c>
      <c r="H58" s="141">
        <f>AU68</f>
        <v>577.05999999999995</v>
      </c>
      <c r="I58" s="53"/>
      <c r="J58" s="53"/>
      <c r="K58" s="53"/>
      <c r="L58" s="53"/>
      <c r="M58" s="53"/>
      <c r="N58" s="53"/>
      <c r="O58" s="53"/>
      <c r="P58" s="53"/>
      <c r="Q58" s="53"/>
      <c r="R58" s="53"/>
      <c r="S58" s="53"/>
      <c r="T58" s="53"/>
      <c r="U58" s="53"/>
      <c r="V58" s="53"/>
      <c r="W58" s="53"/>
      <c r="X58" s="53"/>
      <c r="Y58" s="53"/>
      <c r="Z58" s="53"/>
      <c r="AA58" s="26">
        <f t="shared" si="0"/>
        <v>5.8823649337410799</v>
      </c>
      <c r="AB58" s="27">
        <f t="shared" si="1"/>
        <v>5.999964232702041E-2</v>
      </c>
      <c r="AC58" s="9"/>
      <c r="AD58" s="1"/>
      <c r="AE58" s="1"/>
      <c r="AF58" s="1"/>
      <c r="AU58" s="13">
        <f>A40+A45</f>
        <v>9617.7199999999993</v>
      </c>
    </row>
    <row r="59" spans="1:47" ht="15.45" hidden="1" x14ac:dyDescent="0.4">
      <c r="A59" s="111"/>
      <c r="B59" s="93"/>
      <c r="C59" s="94"/>
      <c r="D59" s="93"/>
      <c r="E59" s="144"/>
      <c r="F59" s="105"/>
      <c r="G59" s="150"/>
      <c r="H59" s="141"/>
      <c r="I59" s="53"/>
      <c r="J59" s="53"/>
      <c r="K59" s="53"/>
      <c r="L59" s="53"/>
      <c r="M59" s="53"/>
      <c r="N59" s="53"/>
      <c r="O59" s="53"/>
      <c r="P59" s="53"/>
      <c r="Q59" s="53"/>
      <c r="R59" s="53"/>
      <c r="S59" s="53"/>
      <c r="T59" s="53"/>
      <c r="U59" s="53"/>
      <c r="V59" s="53"/>
      <c r="W59" s="53"/>
      <c r="X59" s="53"/>
      <c r="Y59" s="53"/>
      <c r="Z59" s="53"/>
      <c r="AA59" s="26">
        <f t="shared" si="0"/>
        <v>0</v>
      </c>
      <c r="AB59" s="27">
        <f t="shared" si="1"/>
        <v>0</v>
      </c>
      <c r="AC59" s="1"/>
      <c r="AD59" s="1"/>
      <c r="AE59" s="1"/>
      <c r="AF59" s="1"/>
      <c r="AU59" s="14">
        <f>G11</f>
        <v>0.67500000000000004</v>
      </c>
    </row>
    <row r="60" spans="1:47" ht="15.45" x14ac:dyDescent="0.4">
      <c r="A60" s="111"/>
      <c r="B60" s="93"/>
      <c r="C60" s="93"/>
      <c r="D60" s="93"/>
      <c r="E60" s="93"/>
      <c r="F60" s="93"/>
      <c r="G60" s="93"/>
      <c r="H60" s="152"/>
      <c r="I60" s="53"/>
      <c r="J60" s="53"/>
      <c r="K60" s="53"/>
      <c r="L60" s="53"/>
      <c r="M60" s="53"/>
      <c r="N60" s="53"/>
      <c r="O60" s="53"/>
      <c r="P60" s="53"/>
      <c r="Q60" s="53"/>
      <c r="R60" s="53"/>
      <c r="S60" s="53"/>
      <c r="T60" s="53"/>
      <c r="U60" s="53"/>
      <c r="V60" s="53"/>
      <c r="W60" s="53"/>
      <c r="X60" s="53"/>
      <c r="Y60" s="53"/>
      <c r="Z60" s="53"/>
      <c r="AA60" s="26"/>
      <c r="AB60" s="27"/>
      <c r="AC60" s="9"/>
      <c r="AD60" s="1"/>
      <c r="AE60" s="1"/>
      <c r="AF60" s="1"/>
      <c r="AU60" s="2">
        <f>ROUND(E55*G55,2)</f>
        <v>6491.96</v>
      </c>
    </row>
    <row r="61" spans="1:47" ht="15.45" x14ac:dyDescent="0.4">
      <c r="A61" s="97" t="s">
        <v>34</v>
      </c>
      <c r="B61" s="93"/>
      <c r="C61" s="95"/>
      <c r="D61" s="103"/>
      <c r="E61" s="103"/>
      <c r="F61" s="93"/>
      <c r="G61" s="93"/>
      <c r="H61" s="104"/>
      <c r="I61" s="77"/>
      <c r="J61" s="77"/>
      <c r="K61" s="77"/>
      <c r="L61" s="77"/>
      <c r="M61" s="77"/>
      <c r="N61" s="77"/>
      <c r="O61" s="77"/>
      <c r="P61" s="77"/>
      <c r="Q61" s="77"/>
      <c r="R61" s="77"/>
      <c r="S61" s="77"/>
      <c r="T61" s="77"/>
      <c r="U61" s="77"/>
      <c r="V61" s="77"/>
      <c r="W61" s="77"/>
      <c r="X61" s="77"/>
      <c r="Y61" s="77"/>
      <c r="Z61" s="77"/>
      <c r="AA61" s="52">
        <f>SUM(AA54:AA58)</f>
        <v>598.53390417940875</v>
      </c>
      <c r="AB61" s="52">
        <f>SUM(AB54:AB58)</f>
        <v>6.1049969826541091</v>
      </c>
      <c r="AC61" s="9"/>
      <c r="AD61" s="1"/>
      <c r="AE61" s="1"/>
      <c r="AF61" s="1"/>
      <c r="AU61" s="13">
        <f>A41+A45</f>
        <v>9617.7199999999993</v>
      </c>
    </row>
    <row r="62" spans="1:47" ht="15.45" x14ac:dyDescent="0.4">
      <c r="A62" s="97" t="s">
        <v>35</v>
      </c>
      <c r="B62" s="93"/>
      <c r="C62" s="149">
        <f>AU74</f>
        <v>89.24</v>
      </c>
      <c r="D62" s="94" t="s">
        <v>36</v>
      </c>
      <c r="E62" s="94" t="s">
        <v>32</v>
      </c>
      <c r="F62" s="93"/>
      <c r="G62" s="93"/>
      <c r="H62" s="141">
        <f>AU75</f>
        <v>58716.175999999992</v>
      </c>
      <c r="I62" s="27"/>
      <c r="J62" s="27"/>
      <c r="K62" s="27"/>
      <c r="L62" s="27"/>
      <c r="M62" s="27"/>
      <c r="N62" s="27"/>
      <c r="O62" s="27"/>
      <c r="P62" s="27"/>
      <c r="Q62" s="27"/>
      <c r="R62" s="27"/>
      <c r="S62" s="27"/>
      <c r="T62" s="27"/>
      <c r="U62" s="27"/>
      <c r="V62" s="27"/>
      <c r="W62" s="27"/>
      <c r="X62" s="27"/>
      <c r="Y62" s="27"/>
      <c r="Z62" s="27"/>
      <c r="AA62" s="26">
        <f>H62/$C$4</f>
        <v>598.53390417940875</v>
      </c>
      <c r="AB62" s="27">
        <f>H62/$H$7</f>
        <v>6.1049969826541082</v>
      </c>
      <c r="AC62" s="15"/>
      <c r="AD62" s="1"/>
      <c r="AE62" s="1"/>
      <c r="AF62" s="1"/>
      <c r="AU62" s="14">
        <f>G12</f>
        <v>1.4</v>
      </c>
    </row>
    <row r="63" spans="1:47" ht="15.45" x14ac:dyDescent="0.4">
      <c r="A63" s="97" t="s">
        <v>35</v>
      </c>
      <c r="B63" s="93"/>
      <c r="C63" s="149">
        <f>AU76</f>
        <v>20.85</v>
      </c>
      <c r="D63" s="94" t="s">
        <v>37</v>
      </c>
      <c r="E63" s="94" t="s">
        <v>174</v>
      </c>
      <c r="F63" s="93"/>
      <c r="G63" s="108"/>
      <c r="H63" s="141">
        <f>AU77</f>
        <v>858276.11399999994</v>
      </c>
      <c r="I63" s="53"/>
      <c r="J63" s="53"/>
      <c r="K63" s="53"/>
      <c r="L63" s="53"/>
      <c r="M63" s="53"/>
      <c r="N63" s="53"/>
      <c r="O63" s="53"/>
      <c r="P63" s="53"/>
      <c r="Q63" s="53"/>
      <c r="R63" s="53"/>
      <c r="S63" s="53"/>
      <c r="T63" s="53"/>
      <c r="U63" s="53"/>
      <c r="V63" s="53"/>
      <c r="W63" s="53"/>
      <c r="X63" s="53"/>
      <c r="Y63" s="53"/>
      <c r="Z63" s="53"/>
      <c r="AA63" s="26"/>
      <c r="AB63" s="27"/>
      <c r="AC63" s="15"/>
      <c r="AD63" s="1"/>
      <c r="AE63" s="1"/>
      <c r="AF63" s="1"/>
      <c r="AU63" s="2">
        <f>ROUND(E56*G56,2)</f>
        <v>13464.81</v>
      </c>
    </row>
    <row r="64" spans="1:47" ht="15.45" x14ac:dyDescent="0.4">
      <c r="A64" s="97"/>
      <c r="B64" s="93"/>
      <c r="C64" s="149"/>
      <c r="D64" s="94"/>
      <c r="E64" s="94"/>
      <c r="F64" s="93"/>
      <c r="G64" s="108"/>
      <c r="H64" s="141"/>
      <c r="I64" s="53"/>
      <c r="J64" s="53"/>
      <c r="K64" s="53"/>
      <c r="L64" s="53"/>
      <c r="M64" s="53"/>
      <c r="N64" s="53"/>
      <c r="O64" s="53"/>
      <c r="P64" s="53"/>
      <c r="Q64" s="53"/>
      <c r="R64" s="53"/>
      <c r="S64" s="53"/>
      <c r="T64" s="53"/>
      <c r="U64" s="53"/>
      <c r="V64" s="53"/>
      <c r="W64" s="53"/>
      <c r="X64" s="53"/>
      <c r="Y64" s="53"/>
      <c r="Z64" s="53"/>
      <c r="AA64" s="52"/>
      <c r="AB64" s="53"/>
      <c r="AC64" s="15"/>
      <c r="AD64" s="1"/>
      <c r="AE64" s="1"/>
      <c r="AF64" s="1"/>
      <c r="AU64" s="14">
        <f>G13</f>
        <v>0.05</v>
      </c>
    </row>
    <row r="65" spans="1:47" ht="15.45" x14ac:dyDescent="0.4">
      <c r="A65" s="226" t="s">
        <v>223</v>
      </c>
      <c r="B65" s="88"/>
      <c r="C65" s="88"/>
      <c r="D65" s="88"/>
      <c r="E65" s="227"/>
      <c r="F65" s="234" t="s">
        <v>55</v>
      </c>
      <c r="G65" s="234" t="s">
        <v>9</v>
      </c>
      <c r="H65" s="235" t="s">
        <v>54</v>
      </c>
      <c r="I65" s="77"/>
      <c r="J65" s="77"/>
      <c r="K65" s="77"/>
      <c r="L65" s="77"/>
      <c r="M65" s="77"/>
      <c r="N65" s="77"/>
      <c r="O65" s="77"/>
      <c r="P65" s="77"/>
      <c r="Q65" s="77"/>
      <c r="R65" s="77"/>
      <c r="S65" s="77"/>
      <c r="T65" s="77"/>
      <c r="U65" s="77"/>
      <c r="V65" s="77"/>
      <c r="W65" s="77"/>
      <c r="X65" s="77"/>
      <c r="Y65" s="77"/>
      <c r="Z65" s="77"/>
      <c r="AA65" s="52"/>
      <c r="AB65" s="53"/>
      <c r="AC65" s="1"/>
      <c r="AD65" s="1"/>
      <c r="AE65" s="1"/>
      <c r="AF65" s="1"/>
      <c r="AU65" s="2">
        <f>E57*G57</f>
        <v>480.88599999999997</v>
      </c>
    </row>
    <row r="66" spans="1:47" ht="15.45" x14ac:dyDescent="0.4">
      <c r="A66" s="111" t="s">
        <v>218</v>
      </c>
      <c r="B66" s="93"/>
      <c r="C66" s="93"/>
      <c r="D66" s="93"/>
      <c r="E66" s="103"/>
      <c r="F66" s="216">
        <f>H52/C4</f>
        <v>9347.5258919469925</v>
      </c>
      <c r="G66" s="146">
        <f>H52/H7</f>
        <v>95.344001345848568</v>
      </c>
      <c r="H66" s="141">
        <f>H52</f>
        <v>916992.28999999992</v>
      </c>
      <c r="I66" s="35"/>
      <c r="J66" s="35"/>
      <c r="K66" s="35"/>
      <c r="L66" s="35"/>
      <c r="M66" s="35"/>
      <c r="N66" s="35"/>
      <c r="O66" s="35"/>
      <c r="P66" s="35"/>
      <c r="Q66" s="35"/>
      <c r="R66" s="35"/>
      <c r="S66" s="35"/>
      <c r="T66" s="35"/>
      <c r="U66" s="35"/>
      <c r="V66" s="35"/>
      <c r="W66" s="35"/>
      <c r="X66" s="35"/>
      <c r="Y66" s="35"/>
      <c r="Z66" s="35"/>
      <c r="AA66" s="26">
        <f t="shared" ref="AA66:AA71" si="2">H69/$C$4</f>
        <v>131.19266055045873</v>
      </c>
      <c r="AB66" s="27">
        <f t="shared" ref="AB66:AB71" si="3">H69/$H$7</f>
        <v>1.33815443237922</v>
      </c>
      <c r="AC66" s="9"/>
      <c r="AD66" s="1"/>
      <c r="AE66" s="1"/>
      <c r="AF66" s="1"/>
      <c r="AU66" s="13">
        <f>A39+A45</f>
        <v>9617.7199999999993</v>
      </c>
    </row>
    <row r="67" spans="1:47" ht="15.45" x14ac:dyDescent="0.4">
      <c r="A67" s="111"/>
      <c r="B67" s="93"/>
      <c r="C67" s="93"/>
      <c r="D67" s="93"/>
      <c r="E67" s="103"/>
      <c r="F67" s="103"/>
      <c r="G67" s="103"/>
      <c r="H67" s="152"/>
      <c r="I67" s="35"/>
      <c r="J67" s="35"/>
      <c r="K67" s="35"/>
      <c r="L67" s="35"/>
      <c r="M67" s="35"/>
      <c r="N67" s="35"/>
      <c r="O67" s="35"/>
      <c r="P67" s="35"/>
      <c r="Q67" s="35"/>
      <c r="R67" s="35"/>
      <c r="S67" s="35"/>
      <c r="T67" s="35"/>
      <c r="U67" s="35"/>
      <c r="V67" s="35"/>
      <c r="W67" s="35"/>
      <c r="X67" s="35"/>
      <c r="Y67" s="35"/>
      <c r="Z67" s="35"/>
      <c r="AA67" s="26">
        <f t="shared" si="2"/>
        <v>0</v>
      </c>
      <c r="AB67" s="27">
        <f t="shared" si="3"/>
        <v>0</v>
      </c>
      <c r="AC67" s="1"/>
      <c r="AD67" s="1"/>
      <c r="AE67" s="1"/>
      <c r="AF67" s="1"/>
      <c r="AU67" s="14">
        <f>G14</f>
        <v>0.06</v>
      </c>
    </row>
    <row r="68" spans="1:47" ht="15.45" x14ac:dyDescent="0.4">
      <c r="A68" s="97" t="s">
        <v>38</v>
      </c>
      <c r="B68" s="93"/>
      <c r="C68" s="105" t="s">
        <v>39</v>
      </c>
      <c r="D68" s="105" t="s">
        <v>40</v>
      </c>
      <c r="E68" s="103"/>
      <c r="F68" s="105" t="s">
        <v>55</v>
      </c>
      <c r="G68" s="105" t="s">
        <v>9</v>
      </c>
      <c r="H68" s="120" t="s">
        <v>41</v>
      </c>
      <c r="I68" s="35"/>
      <c r="J68" s="35"/>
      <c r="K68" s="35"/>
      <c r="L68" s="35"/>
      <c r="M68" s="35"/>
      <c r="N68" s="35"/>
      <c r="O68" s="35"/>
      <c r="P68" s="35"/>
      <c r="Q68" s="35"/>
      <c r="R68" s="35"/>
      <c r="S68" s="35"/>
      <c r="T68" s="35"/>
      <c r="U68" s="35"/>
      <c r="V68" s="35"/>
      <c r="W68" s="35"/>
      <c r="X68" s="35"/>
      <c r="Y68" s="35"/>
      <c r="Z68" s="35"/>
      <c r="AA68" s="26">
        <f t="shared" si="2"/>
        <v>0</v>
      </c>
      <c r="AB68" s="27">
        <f t="shared" si="3"/>
        <v>0</v>
      </c>
      <c r="AC68" s="1"/>
      <c r="AD68" s="1"/>
      <c r="AE68" s="1"/>
      <c r="AF68" s="1"/>
      <c r="AU68" s="2">
        <f>ROUND(E58*G58,2)</f>
        <v>577.05999999999995</v>
      </c>
    </row>
    <row r="69" spans="1:47" ht="15.45" x14ac:dyDescent="0.4">
      <c r="A69" s="97" t="s">
        <v>42</v>
      </c>
      <c r="B69" s="93"/>
      <c r="C69" s="98">
        <v>33</v>
      </c>
      <c r="D69" s="98">
        <v>390</v>
      </c>
      <c r="E69" s="103"/>
      <c r="F69" s="216">
        <f>H69/$C$4</f>
        <v>131.19266055045873</v>
      </c>
      <c r="G69" s="146">
        <f>H69/$H$7</f>
        <v>1.33815443237922</v>
      </c>
      <c r="H69" s="120">
        <f t="shared" ref="H69:H74" si="4">AU78</f>
        <v>12870</v>
      </c>
      <c r="I69" s="35"/>
      <c r="J69" s="35"/>
      <c r="K69" s="35"/>
      <c r="L69" s="35"/>
      <c r="M69" s="35"/>
      <c r="N69" s="35"/>
      <c r="O69" s="35"/>
      <c r="P69" s="35"/>
      <c r="Q69" s="35"/>
      <c r="R69" s="35"/>
      <c r="S69" s="35"/>
      <c r="T69" s="35"/>
      <c r="U69" s="35"/>
      <c r="V69" s="35"/>
      <c r="W69" s="35"/>
      <c r="X69" s="35"/>
      <c r="Y69" s="35"/>
      <c r="Z69" s="35"/>
      <c r="AA69" s="26">
        <f t="shared" si="2"/>
        <v>185.52497451580021</v>
      </c>
      <c r="AB69" s="27">
        <f t="shared" si="3"/>
        <v>1.8923396013443516</v>
      </c>
      <c r="AC69" s="1"/>
      <c r="AD69" s="1"/>
      <c r="AE69" s="1"/>
      <c r="AF69" s="1"/>
      <c r="AU69" s="2" t="str">
        <f>IF(G19=0,"","Over Quota Charge")</f>
        <v/>
      </c>
    </row>
    <row r="70" spans="1:47" ht="15.45" x14ac:dyDescent="0.4">
      <c r="A70" s="97" t="s">
        <v>186</v>
      </c>
      <c r="B70" s="93"/>
      <c r="C70" s="98">
        <v>0</v>
      </c>
      <c r="D70" s="98">
        <v>300</v>
      </c>
      <c r="E70" s="103"/>
      <c r="F70" s="216">
        <f t="shared" ref="F70:F74" si="5">H70/$C$4</f>
        <v>0</v>
      </c>
      <c r="G70" s="146">
        <f t="shared" ref="G70:G74" si="6">H70/$H$7</f>
        <v>0</v>
      </c>
      <c r="H70" s="120">
        <f t="shared" si="4"/>
        <v>0</v>
      </c>
      <c r="I70" s="35"/>
      <c r="J70" s="35"/>
      <c r="K70" s="35"/>
      <c r="L70" s="35"/>
      <c r="M70" s="35"/>
      <c r="N70" s="35"/>
      <c r="O70" s="35"/>
      <c r="P70" s="35"/>
      <c r="Q70" s="35"/>
      <c r="R70" s="35"/>
      <c r="S70" s="35"/>
      <c r="T70" s="35"/>
      <c r="U70" s="35"/>
      <c r="V70" s="35"/>
      <c r="W70" s="35"/>
      <c r="X70" s="35"/>
      <c r="Y70" s="35"/>
      <c r="Z70" s="35"/>
      <c r="AA70" s="26">
        <f t="shared" si="2"/>
        <v>0</v>
      </c>
      <c r="AB70" s="27">
        <f t="shared" si="3"/>
        <v>0</v>
      </c>
      <c r="AC70" s="1"/>
      <c r="AD70" s="1"/>
      <c r="AE70" s="1"/>
      <c r="AF70" s="1"/>
      <c r="AU70" s="2" t="str">
        <f>IF(AU69="","",AU42)</f>
        <v/>
      </c>
    </row>
    <row r="71" spans="1:47" ht="15.45" x14ac:dyDescent="0.4">
      <c r="A71" s="97" t="s">
        <v>43</v>
      </c>
      <c r="B71" s="93"/>
      <c r="C71" s="98">
        <v>0</v>
      </c>
      <c r="D71" s="98">
        <v>2100</v>
      </c>
      <c r="E71" s="103"/>
      <c r="F71" s="216">
        <f t="shared" si="5"/>
        <v>0</v>
      </c>
      <c r="G71" s="146">
        <f t="shared" si="6"/>
        <v>0</v>
      </c>
      <c r="H71" s="120">
        <f t="shared" si="4"/>
        <v>0</v>
      </c>
      <c r="I71" s="35"/>
      <c r="J71" s="35"/>
      <c r="K71" s="35"/>
      <c r="L71" s="35"/>
      <c r="M71" s="35"/>
      <c r="N71" s="35"/>
      <c r="O71" s="35"/>
      <c r="P71" s="35"/>
      <c r="Q71" s="35"/>
      <c r="R71" s="35"/>
      <c r="S71" s="35"/>
      <c r="T71" s="35"/>
      <c r="U71" s="35"/>
      <c r="V71" s="35"/>
      <c r="W71" s="35"/>
      <c r="X71" s="35"/>
      <c r="Y71" s="35"/>
      <c r="Z71" s="35"/>
      <c r="AA71" s="26">
        <f t="shared" si="2"/>
        <v>0</v>
      </c>
      <c r="AB71" s="27">
        <f t="shared" si="3"/>
        <v>0</v>
      </c>
      <c r="AC71" s="1"/>
      <c r="AD71" s="1"/>
      <c r="AE71" s="1"/>
      <c r="AF71" s="1"/>
      <c r="AU71" s="2" t="str">
        <f>IF(AU70="","","X")</f>
        <v/>
      </c>
    </row>
    <row r="72" spans="1:47" ht="15.45" x14ac:dyDescent="0.4">
      <c r="A72" s="97" t="s">
        <v>44</v>
      </c>
      <c r="B72" s="93"/>
      <c r="C72" s="98">
        <v>13</v>
      </c>
      <c r="D72" s="98">
        <v>1400</v>
      </c>
      <c r="E72" s="103"/>
      <c r="F72" s="216">
        <f t="shared" si="5"/>
        <v>185.52497451580021</v>
      </c>
      <c r="G72" s="146">
        <f t="shared" si="6"/>
        <v>1.8923396013443516</v>
      </c>
      <c r="H72" s="120">
        <f t="shared" si="4"/>
        <v>18200</v>
      </c>
      <c r="I72" s="35"/>
      <c r="J72" s="35"/>
      <c r="K72" s="35"/>
      <c r="L72" s="35"/>
      <c r="M72" s="35"/>
      <c r="N72" s="35"/>
      <c r="O72" s="35"/>
      <c r="P72" s="35"/>
      <c r="Q72" s="35"/>
      <c r="R72" s="35"/>
      <c r="S72" s="35"/>
      <c r="T72" s="35"/>
      <c r="U72" s="35"/>
      <c r="V72" s="35"/>
      <c r="W72" s="35"/>
      <c r="X72" s="35"/>
      <c r="Y72" s="35"/>
      <c r="Z72" s="35"/>
      <c r="AA72" s="34"/>
      <c r="AB72" s="35"/>
      <c r="AC72" s="9"/>
      <c r="AD72" s="1"/>
      <c r="AE72" s="1"/>
      <c r="AF72" s="1"/>
      <c r="AH72" s="2">
        <v>198</v>
      </c>
      <c r="AU72" s="2" t="str">
        <f>IF(AU71="","",G19)</f>
        <v/>
      </c>
    </row>
    <row r="73" spans="1:47" ht="15.45" x14ac:dyDescent="0.4">
      <c r="A73" s="97" t="s">
        <v>45</v>
      </c>
      <c r="B73" s="93"/>
      <c r="C73" s="98">
        <v>0</v>
      </c>
      <c r="D73" s="98">
        <v>2800</v>
      </c>
      <c r="E73" s="103"/>
      <c r="F73" s="216">
        <f t="shared" si="5"/>
        <v>0</v>
      </c>
      <c r="G73" s="146">
        <f t="shared" si="6"/>
        <v>0</v>
      </c>
      <c r="H73" s="120">
        <f t="shared" si="4"/>
        <v>0</v>
      </c>
      <c r="I73" s="35"/>
      <c r="J73" s="35"/>
      <c r="K73" s="35"/>
      <c r="L73" s="35"/>
      <c r="M73" s="35"/>
      <c r="N73" s="35"/>
      <c r="O73" s="35"/>
      <c r="P73" s="35"/>
      <c r="Q73" s="35"/>
      <c r="R73" s="35"/>
      <c r="S73" s="35"/>
      <c r="T73" s="35"/>
      <c r="U73" s="35"/>
      <c r="V73" s="35"/>
      <c r="W73" s="35"/>
      <c r="X73" s="35"/>
      <c r="Y73" s="35"/>
      <c r="Z73" s="35"/>
      <c r="AA73" s="26">
        <f>H76/$C$4</f>
        <v>316.71763506625894</v>
      </c>
      <c r="AB73" s="27">
        <f>H76/$H$7</f>
        <v>3.2304940337235717</v>
      </c>
      <c r="AC73" s="9"/>
      <c r="AD73" s="1"/>
      <c r="AE73" s="1"/>
      <c r="AF73" s="1"/>
      <c r="AH73" s="2">
        <v>239</v>
      </c>
      <c r="AU73" s="2" t="str">
        <f>IF(AU72="","",E59*G59)</f>
        <v/>
      </c>
    </row>
    <row r="74" spans="1:47" ht="15.45" x14ac:dyDescent="0.4">
      <c r="A74" s="153" t="s">
        <v>46</v>
      </c>
      <c r="B74" s="154" t="s">
        <v>47</v>
      </c>
      <c r="C74" s="98">
        <v>0</v>
      </c>
      <c r="D74" s="98">
        <v>0</v>
      </c>
      <c r="E74" s="103"/>
      <c r="F74" s="216">
        <f t="shared" si="5"/>
        <v>0</v>
      </c>
      <c r="G74" s="146">
        <f t="shared" si="6"/>
        <v>0</v>
      </c>
      <c r="H74" s="120">
        <f t="shared" si="4"/>
        <v>0</v>
      </c>
      <c r="I74" s="35"/>
      <c r="J74" s="35"/>
      <c r="K74" s="35"/>
      <c r="L74" s="35"/>
      <c r="M74" s="35"/>
      <c r="N74" s="35"/>
      <c r="O74" s="35"/>
      <c r="P74" s="35"/>
      <c r="Q74" s="35"/>
      <c r="R74" s="35"/>
      <c r="S74" s="35"/>
      <c r="T74" s="35"/>
      <c r="U74" s="35"/>
      <c r="V74" s="35"/>
      <c r="W74" s="35"/>
      <c r="X74" s="35"/>
      <c r="Y74" s="35"/>
      <c r="Z74" s="35"/>
      <c r="AA74" s="34"/>
      <c r="AB74" s="35"/>
      <c r="AC74" s="9"/>
      <c r="AD74" s="1"/>
      <c r="AE74" s="1"/>
      <c r="AF74" s="1"/>
      <c r="AH74" s="2">
        <v>351</v>
      </c>
      <c r="AU74" s="2">
        <f>ROUND(H63/H7,2)</f>
        <v>89.24</v>
      </c>
    </row>
    <row r="75" spans="1:47" ht="15.45" x14ac:dyDescent="0.4">
      <c r="A75" s="97" t="s">
        <v>48</v>
      </c>
      <c r="B75" s="155" t="s">
        <v>49</v>
      </c>
      <c r="C75" s="105" t="s">
        <v>49</v>
      </c>
      <c r="D75" s="112"/>
      <c r="E75" s="103"/>
      <c r="F75" s="216"/>
      <c r="G75" s="216"/>
      <c r="H75" s="120" t="s">
        <v>49</v>
      </c>
      <c r="I75" s="43"/>
      <c r="J75" s="43"/>
      <c r="K75" s="43"/>
      <c r="L75" s="43"/>
      <c r="M75" s="43"/>
      <c r="N75" s="43"/>
      <c r="O75" s="43"/>
      <c r="P75" s="43"/>
      <c r="Q75" s="43"/>
      <c r="R75" s="43"/>
      <c r="S75" s="43"/>
      <c r="T75" s="43"/>
      <c r="U75" s="43"/>
      <c r="V75" s="43"/>
      <c r="W75" s="43"/>
      <c r="X75" s="43"/>
      <c r="Y75" s="43"/>
      <c r="Z75" s="43"/>
      <c r="AA75" s="34"/>
      <c r="AB75" s="35"/>
      <c r="AC75" s="9"/>
      <c r="AD75" s="1"/>
      <c r="AE75" s="4"/>
      <c r="AF75" s="1"/>
      <c r="AH75" s="2">
        <v>357</v>
      </c>
      <c r="AU75" s="11">
        <f>SUM(H54:H61)</f>
        <v>58716.175999999992</v>
      </c>
    </row>
    <row r="76" spans="1:47" ht="15.45" x14ac:dyDescent="0.4">
      <c r="A76" s="97" t="s">
        <v>50</v>
      </c>
      <c r="B76" s="93"/>
      <c r="C76" s="105">
        <f>AU84</f>
        <v>46</v>
      </c>
      <c r="D76" s="112"/>
      <c r="E76" s="103"/>
      <c r="F76" s="216">
        <f>SUM(F69:F75)</f>
        <v>316.71763506625894</v>
      </c>
      <c r="G76" s="146">
        <f>SUM(G69:G75)</f>
        <v>3.2304940337235717</v>
      </c>
      <c r="H76" s="120">
        <f>AU85</f>
        <v>31070</v>
      </c>
      <c r="I76" s="35"/>
      <c r="J76" s="35"/>
      <c r="K76" s="35"/>
      <c r="L76" s="35"/>
      <c r="M76" s="35"/>
      <c r="N76" s="35"/>
      <c r="O76" s="35"/>
      <c r="P76" s="35"/>
      <c r="Q76" s="35"/>
      <c r="R76" s="35"/>
      <c r="S76" s="35"/>
      <c r="T76" s="35"/>
      <c r="U76" s="35"/>
      <c r="V76" s="35"/>
      <c r="W76" s="35"/>
      <c r="X76" s="35"/>
      <c r="Y76" s="35"/>
      <c r="Z76" s="35"/>
      <c r="AA76" s="42"/>
      <c r="AB76" s="43"/>
      <c r="AC76" s="1"/>
      <c r="AD76" s="1"/>
      <c r="AE76" s="4"/>
      <c r="AF76" s="1"/>
      <c r="AH76" s="2">
        <v>423</v>
      </c>
      <c r="AU76" s="2">
        <f>ROUND(H63/(E39+E45),2)</f>
        <v>20.85</v>
      </c>
    </row>
    <row r="77" spans="1:47" ht="15.45" x14ac:dyDescent="0.4">
      <c r="A77" s="97"/>
      <c r="B77" s="93"/>
      <c r="C77" s="105"/>
      <c r="D77" s="112"/>
      <c r="E77" s="103"/>
      <c r="F77" s="216"/>
      <c r="G77" s="146"/>
      <c r="H77" s="120"/>
      <c r="I77" s="35"/>
      <c r="J77" s="35"/>
      <c r="K77" s="35"/>
      <c r="L77" s="35"/>
      <c r="M77" s="35"/>
      <c r="N77" s="35"/>
      <c r="O77" s="35"/>
      <c r="P77" s="35"/>
      <c r="Q77" s="35"/>
      <c r="R77" s="35"/>
      <c r="S77" s="35"/>
      <c r="T77" s="35"/>
      <c r="U77" s="35"/>
      <c r="V77" s="35"/>
      <c r="W77" s="35"/>
      <c r="X77" s="35"/>
      <c r="Y77" s="35"/>
      <c r="Z77" s="35"/>
      <c r="AA77" s="34"/>
      <c r="AB77" s="35"/>
      <c r="AC77" s="16"/>
      <c r="AD77" s="1"/>
      <c r="AE77" s="4"/>
      <c r="AF77" s="1"/>
      <c r="AH77" s="2">
        <v>491</v>
      </c>
      <c r="AU77" s="11">
        <f>H52-H62</f>
        <v>858276.11399999994</v>
      </c>
    </row>
    <row r="78" spans="1:47" ht="15.45" x14ac:dyDescent="0.4">
      <c r="A78" s="228" t="s">
        <v>219</v>
      </c>
      <c r="B78" s="229"/>
      <c r="C78" s="217"/>
      <c r="D78" s="223"/>
      <c r="E78" s="230"/>
      <c r="F78" s="231">
        <f>SUM(F76,F66)</f>
        <v>9664.2435270132519</v>
      </c>
      <c r="G78" s="233">
        <f t="shared" ref="G78:H78" si="7">SUM(G76,G66)</f>
        <v>98.574495379572141</v>
      </c>
      <c r="H78" s="232">
        <f t="shared" si="7"/>
        <v>948062.28999999992</v>
      </c>
      <c r="I78" s="35"/>
      <c r="J78" s="35"/>
      <c r="K78" s="35"/>
      <c r="L78" s="35"/>
      <c r="M78" s="35"/>
      <c r="N78" s="35"/>
      <c r="O78" s="35"/>
      <c r="P78" s="35"/>
      <c r="Q78" s="35"/>
      <c r="R78" s="35"/>
      <c r="S78" s="35"/>
      <c r="T78" s="35"/>
      <c r="U78" s="35"/>
      <c r="V78" s="35"/>
      <c r="W78" s="35"/>
      <c r="X78" s="35"/>
      <c r="Y78" s="35"/>
      <c r="Z78" s="35"/>
      <c r="AA78" s="34"/>
      <c r="AB78" s="35"/>
      <c r="AC78" s="1"/>
      <c r="AD78" s="1"/>
      <c r="AE78" s="4"/>
      <c r="AF78" s="1"/>
      <c r="AH78" s="2">
        <v>422</v>
      </c>
      <c r="AU78" s="2">
        <f>C69*D69</f>
        <v>12870</v>
      </c>
    </row>
    <row r="79" spans="1:47" ht="15.45" x14ac:dyDescent="0.4">
      <c r="A79" s="128"/>
      <c r="B79" s="128"/>
      <c r="C79" s="128"/>
      <c r="D79" s="128"/>
      <c r="E79" s="128"/>
      <c r="F79" s="128"/>
      <c r="G79" s="128"/>
      <c r="H79" s="128"/>
      <c r="I79" s="39"/>
      <c r="J79" s="39"/>
      <c r="K79" s="39"/>
      <c r="L79" s="39"/>
      <c r="M79" s="39"/>
      <c r="N79" s="39"/>
      <c r="O79" s="39"/>
      <c r="P79" s="39"/>
      <c r="Q79" s="39"/>
      <c r="R79" s="39"/>
      <c r="S79" s="39"/>
      <c r="T79" s="39"/>
      <c r="U79" s="39"/>
      <c r="V79" s="39"/>
      <c r="W79" s="39"/>
      <c r="X79" s="39"/>
      <c r="Y79" s="39"/>
      <c r="Z79" s="39"/>
      <c r="AA79" s="34"/>
      <c r="AB79" s="35"/>
      <c r="AC79" s="1"/>
      <c r="AD79" s="1"/>
      <c r="AE79" s="4"/>
      <c r="AF79" s="1"/>
      <c r="AH79" s="2">
        <v>389</v>
      </c>
      <c r="AU79" s="2">
        <f t="shared" ref="AU78:AU83" si="8">C70*D70</f>
        <v>0</v>
      </c>
    </row>
    <row r="80" spans="1:47" ht="15.45" hidden="1" x14ac:dyDescent="0.4">
      <c r="A80" s="97" t="s">
        <v>51</v>
      </c>
      <c r="B80" s="93"/>
      <c r="C80" s="93"/>
      <c r="D80" s="93"/>
      <c r="E80" s="93"/>
      <c r="F80" s="156">
        <f>C4</f>
        <v>98.1</v>
      </c>
      <c r="G80" s="94" t="s">
        <v>52</v>
      </c>
      <c r="H80" s="107"/>
      <c r="I80" s="39"/>
      <c r="J80" s="39"/>
      <c r="K80" s="39"/>
      <c r="L80" s="39"/>
      <c r="M80" s="39"/>
      <c r="N80" s="39"/>
      <c r="O80" s="39"/>
      <c r="P80" s="39"/>
      <c r="Q80" s="39"/>
      <c r="R80" s="39"/>
      <c r="S80" s="39"/>
      <c r="T80" s="39"/>
      <c r="U80" s="39"/>
      <c r="V80" s="39"/>
      <c r="W80" s="39"/>
      <c r="X80" s="39"/>
      <c r="Y80" s="39"/>
      <c r="Z80" s="39"/>
      <c r="AA80" s="38"/>
      <c r="AB80" s="39"/>
      <c r="AC80" s="4"/>
      <c r="AD80" s="4"/>
      <c r="AE80" s="1"/>
      <c r="AF80" s="1"/>
      <c r="AU80" s="2">
        <f t="shared" si="8"/>
        <v>0</v>
      </c>
    </row>
    <row r="81" spans="1:52" ht="15.45" hidden="1" x14ac:dyDescent="0.4">
      <c r="A81" s="97" t="s">
        <v>172</v>
      </c>
      <c r="B81" s="93"/>
      <c r="C81" s="93"/>
      <c r="D81" s="93"/>
      <c r="E81" s="93"/>
      <c r="F81" s="157"/>
      <c r="G81" s="108"/>
      <c r="H81" s="107"/>
      <c r="I81" s="39"/>
      <c r="J81" s="39"/>
      <c r="K81" s="39"/>
      <c r="L81" s="39"/>
      <c r="M81" s="39"/>
      <c r="N81" s="39"/>
      <c r="O81" s="39"/>
      <c r="P81" s="39"/>
      <c r="Q81" s="39"/>
      <c r="R81" s="39"/>
      <c r="S81" s="39"/>
      <c r="T81" s="39"/>
      <c r="U81" s="39"/>
      <c r="V81" s="39"/>
      <c r="W81" s="39"/>
      <c r="X81" s="39"/>
      <c r="Y81" s="39"/>
      <c r="Z81" s="39"/>
      <c r="AA81" s="38"/>
      <c r="AB81" s="39"/>
      <c r="AC81" s="1"/>
      <c r="AD81" s="1"/>
      <c r="AE81" s="1"/>
      <c r="AF81" s="1"/>
      <c r="AU81" s="2">
        <f t="shared" si="8"/>
        <v>18200</v>
      </c>
    </row>
    <row r="82" spans="1:52" ht="15.45" hidden="1" x14ac:dyDescent="0.4">
      <c r="A82" s="111"/>
      <c r="B82" s="93"/>
      <c r="C82" s="93"/>
      <c r="D82" s="93"/>
      <c r="E82" s="93"/>
      <c r="F82" s="112"/>
      <c r="G82" s="108"/>
      <c r="H82" s="107"/>
      <c r="I82" s="35"/>
      <c r="J82" s="35"/>
      <c r="K82" s="35"/>
      <c r="L82" s="35"/>
      <c r="M82" s="35"/>
      <c r="N82" s="35"/>
      <c r="O82" s="35"/>
      <c r="P82" s="35"/>
      <c r="Q82" s="35"/>
      <c r="R82" s="35"/>
      <c r="S82" s="35"/>
      <c r="T82" s="35"/>
      <c r="U82" s="35"/>
      <c r="V82" s="35"/>
      <c r="W82" s="35"/>
      <c r="X82" s="35"/>
      <c r="Y82" s="35"/>
      <c r="Z82" s="35"/>
      <c r="AA82" s="38"/>
      <c r="AB82" s="39"/>
      <c r="AC82" s="9"/>
      <c r="AD82" s="1"/>
      <c r="AE82" s="4"/>
      <c r="AF82" s="1"/>
      <c r="AU82" s="2">
        <f t="shared" si="8"/>
        <v>0</v>
      </c>
    </row>
    <row r="83" spans="1:52" ht="15.45" x14ac:dyDescent="0.4">
      <c r="A83" s="97" t="s">
        <v>53</v>
      </c>
      <c r="B83" s="93"/>
      <c r="C83" s="93"/>
      <c r="D83" s="167" t="s">
        <v>175</v>
      </c>
      <c r="E83" s="93"/>
      <c r="F83" s="112"/>
      <c r="G83" s="108"/>
      <c r="H83" s="107"/>
      <c r="I83" s="33"/>
      <c r="J83" s="33"/>
      <c r="K83" s="33"/>
      <c r="L83" s="33"/>
      <c r="M83" s="33"/>
      <c r="N83" s="33"/>
      <c r="O83" s="33"/>
      <c r="P83" s="33"/>
      <c r="Q83" s="33"/>
      <c r="R83" s="33"/>
      <c r="S83" s="33"/>
      <c r="T83" s="33"/>
      <c r="U83" s="33"/>
      <c r="V83" s="33"/>
      <c r="W83" s="33"/>
      <c r="X83" s="33"/>
      <c r="Y83" s="33"/>
      <c r="Z83" s="33"/>
      <c r="AA83" s="34"/>
      <c r="AB83" s="35"/>
      <c r="AC83" s="9"/>
      <c r="AD83" s="1"/>
      <c r="AE83" s="1"/>
      <c r="AF83" s="1"/>
      <c r="AH83" s="2">
        <v>411</v>
      </c>
      <c r="AU83" s="2">
        <f t="shared" si="8"/>
        <v>0</v>
      </c>
    </row>
    <row r="84" spans="1:52" ht="15.45" x14ac:dyDescent="0.4">
      <c r="A84" s="111"/>
      <c r="B84" s="93"/>
      <c r="C84" s="93"/>
      <c r="D84" s="105" t="s">
        <v>70</v>
      </c>
      <c r="E84" s="105" t="s">
        <v>54</v>
      </c>
      <c r="F84" s="119"/>
      <c r="G84" s="144"/>
      <c r="H84" s="120" t="s">
        <v>54</v>
      </c>
      <c r="I84" s="33"/>
      <c r="J84" s="33"/>
      <c r="K84" s="33"/>
      <c r="L84" s="33"/>
      <c r="M84" s="33"/>
      <c r="N84" s="33"/>
      <c r="O84" s="33"/>
      <c r="P84" s="33"/>
      <c r="Q84" s="33"/>
      <c r="R84" s="33"/>
      <c r="S84" s="33"/>
      <c r="T84" s="33"/>
      <c r="U84" s="33"/>
      <c r="V84" s="33"/>
      <c r="W84" s="33"/>
      <c r="X84" s="33"/>
      <c r="Y84" s="33"/>
      <c r="Z84" s="33"/>
      <c r="AA84" s="32"/>
      <c r="AB84" s="33"/>
      <c r="AC84" s="1"/>
      <c r="AD84" s="1"/>
      <c r="AE84" s="1"/>
      <c r="AF84" s="1"/>
      <c r="AH84" s="2">
        <v>505</v>
      </c>
      <c r="AU84" s="2">
        <f>SUM(C69:C74)</f>
        <v>46</v>
      </c>
    </row>
    <row r="85" spans="1:52" ht="15.45" x14ac:dyDescent="0.4">
      <c r="A85" s="111"/>
      <c r="B85" s="93"/>
      <c r="C85" s="103"/>
      <c r="D85" s="105" t="s">
        <v>55</v>
      </c>
      <c r="E85" s="105" t="str">
        <f>AU86</f>
        <v xml:space="preserve">  98 Cows</v>
      </c>
      <c r="F85" s="105" t="s">
        <v>55</v>
      </c>
      <c r="G85" s="105" t="s">
        <v>9</v>
      </c>
      <c r="H85" s="120" t="str">
        <f>AU87</f>
        <v xml:space="preserve">  98 Cows</v>
      </c>
      <c r="I85" s="33"/>
      <c r="J85" s="33"/>
      <c r="K85" s="33"/>
      <c r="L85" s="33"/>
      <c r="M85" s="33"/>
      <c r="N85" s="33"/>
      <c r="O85" s="33"/>
      <c r="P85" s="33"/>
      <c r="Q85" s="33"/>
      <c r="R85" s="33"/>
      <c r="S85" s="33"/>
      <c r="T85" s="33"/>
      <c r="U85" s="33"/>
      <c r="V85" s="33"/>
      <c r="W85" s="33"/>
      <c r="X85" s="33"/>
      <c r="Y85" s="33"/>
      <c r="Z85" s="33"/>
      <c r="AA85" s="32"/>
      <c r="AB85" s="33"/>
      <c r="AC85" s="9"/>
      <c r="AD85" s="1"/>
      <c r="AE85" s="1"/>
      <c r="AF85" s="1"/>
      <c r="AH85" s="2">
        <v>483</v>
      </c>
      <c r="AU85" s="2">
        <f>SUM(H69:H74)</f>
        <v>31070</v>
      </c>
    </row>
    <row r="86" spans="1:52" ht="15.45" x14ac:dyDescent="0.4">
      <c r="A86" s="97" t="s">
        <v>56</v>
      </c>
      <c r="B86" s="93"/>
      <c r="C86" s="103"/>
      <c r="D86" s="105" t="s">
        <v>48</v>
      </c>
      <c r="E86" s="105" t="s">
        <v>49</v>
      </c>
      <c r="F86" s="105" t="s">
        <v>57</v>
      </c>
      <c r="G86" s="105" t="s">
        <v>49</v>
      </c>
      <c r="H86" s="120" t="s">
        <v>48</v>
      </c>
      <c r="I86" s="33" t="s">
        <v>214</v>
      </c>
      <c r="J86" s="33"/>
      <c r="K86" s="33"/>
      <c r="L86" s="33"/>
      <c r="M86" s="33"/>
      <c r="N86" s="33"/>
      <c r="O86" s="33"/>
      <c r="P86" s="33"/>
      <c r="Q86" s="33"/>
      <c r="R86" s="33"/>
      <c r="S86" s="33"/>
      <c r="T86" s="33"/>
      <c r="U86" s="33"/>
      <c r="V86" s="33"/>
      <c r="W86" s="33"/>
      <c r="X86" s="33"/>
      <c r="Y86" s="33"/>
      <c r="Z86" s="33"/>
      <c r="AA86" s="32"/>
      <c r="AB86" s="33"/>
      <c r="AC86" s="9"/>
      <c r="AD86" s="1"/>
      <c r="AE86" s="1"/>
      <c r="AF86" s="1"/>
      <c r="AH86" s="2">
        <v>448</v>
      </c>
      <c r="AU86" s="2" t="str">
        <f>"  "&amp;FIXED(F80,0,TRUE)&amp;" Cows"</f>
        <v xml:space="preserve">  98 Cows</v>
      </c>
      <c r="AY86" s="17"/>
      <c r="AZ86" s="17"/>
    </row>
    <row r="87" spans="1:52" ht="15.45" x14ac:dyDescent="0.4">
      <c r="A87" s="97" t="s">
        <v>58</v>
      </c>
      <c r="B87" s="93"/>
      <c r="C87" s="94" t="s">
        <v>59</v>
      </c>
      <c r="D87" s="94" t="s">
        <v>59</v>
      </c>
      <c r="E87" s="93"/>
      <c r="F87" s="112"/>
      <c r="G87" s="108"/>
      <c r="H87" s="107"/>
      <c r="I87" s="33"/>
      <c r="J87" s="33"/>
      <c r="K87" s="33"/>
      <c r="L87" s="33"/>
      <c r="M87" s="33"/>
      <c r="N87" s="33"/>
      <c r="O87" s="33"/>
      <c r="P87" s="33"/>
      <c r="Q87" s="33"/>
      <c r="R87" s="33"/>
      <c r="S87" s="33"/>
      <c r="T87" s="33"/>
      <c r="U87" s="33"/>
      <c r="V87" s="33"/>
      <c r="W87" s="33"/>
      <c r="X87" s="33"/>
      <c r="Y87" s="33"/>
      <c r="Z87" s="33"/>
      <c r="AA87" s="32"/>
      <c r="AB87" s="33"/>
      <c r="AC87" s="1"/>
      <c r="AD87" s="1"/>
      <c r="AE87" s="1"/>
      <c r="AF87" s="1"/>
      <c r="AH87" s="2">
        <f>AVERAGE(AH72:AH86)</f>
        <v>393.08333333333331</v>
      </c>
      <c r="AU87" s="2" t="str">
        <f>"  "&amp;FIXED(C4,0,TRUE)&amp;" Cows"</f>
        <v xml:space="preserve">  98 Cows</v>
      </c>
    </row>
    <row r="88" spans="1:52" ht="15.45" x14ac:dyDescent="0.4">
      <c r="A88" s="97" t="s">
        <v>209</v>
      </c>
      <c r="B88" s="93"/>
      <c r="C88" s="94" t="s">
        <v>59</v>
      </c>
      <c r="D88" s="168">
        <v>671</v>
      </c>
      <c r="E88" s="168">
        <v>0</v>
      </c>
      <c r="F88" s="144">
        <f>AU88</f>
        <v>671</v>
      </c>
      <c r="G88" s="119">
        <f>AU89</f>
        <v>6.8441452468380257</v>
      </c>
      <c r="H88" s="106">
        <f>AU90</f>
        <v>65825.099999999991</v>
      </c>
      <c r="I88" s="35"/>
      <c r="J88" s="35"/>
      <c r="K88" s="35"/>
      <c r="L88" s="35"/>
      <c r="M88" s="35"/>
      <c r="N88" s="35"/>
      <c r="O88" s="35"/>
      <c r="P88" s="35"/>
      <c r="Q88" s="35"/>
      <c r="R88" s="35"/>
      <c r="S88" s="35"/>
      <c r="T88" s="35"/>
      <c r="U88" s="35"/>
      <c r="V88" s="35"/>
      <c r="W88" s="35"/>
      <c r="X88" s="35"/>
      <c r="Y88" s="35"/>
      <c r="Z88" s="35"/>
      <c r="AA88" s="32"/>
      <c r="AB88" s="33"/>
      <c r="AC88" s="9"/>
      <c r="AD88" s="1"/>
      <c r="AE88" s="1"/>
      <c r="AF88" s="1"/>
      <c r="AU88" s="2">
        <f>IF(D88=0,E88/C4,D88)</f>
        <v>671</v>
      </c>
    </row>
    <row r="89" spans="1:52" ht="15.45" x14ac:dyDescent="0.4">
      <c r="A89" s="97" t="s">
        <v>60</v>
      </c>
      <c r="B89" s="93"/>
      <c r="C89" s="94" t="s">
        <v>59</v>
      </c>
      <c r="D89" s="168">
        <v>263</v>
      </c>
      <c r="E89" s="168">
        <v>0</v>
      </c>
      <c r="F89" s="144">
        <f>AU91</f>
        <v>263</v>
      </c>
      <c r="G89" s="119">
        <f>AU92</f>
        <v>2.6825785393716854</v>
      </c>
      <c r="H89" s="106">
        <f>AU93</f>
        <v>25800.3</v>
      </c>
      <c r="I89" s="55" t="s">
        <v>215</v>
      </c>
      <c r="J89" s="55"/>
      <c r="K89" s="55"/>
      <c r="L89" s="55"/>
      <c r="M89" s="55"/>
      <c r="N89" s="55"/>
      <c r="O89" s="55"/>
      <c r="P89" s="55"/>
      <c r="Q89" s="55"/>
      <c r="R89" s="55"/>
      <c r="S89" s="55"/>
      <c r="T89" s="55"/>
      <c r="U89" s="55"/>
      <c r="V89" s="55"/>
      <c r="W89" s="55"/>
      <c r="X89" s="55"/>
      <c r="Y89" s="55"/>
      <c r="Z89" s="55"/>
      <c r="AA89" s="34"/>
      <c r="AB89" s="35"/>
      <c r="AC89" s="9"/>
      <c r="AD89" s="1"/>
      <c r="AE89" s="4"/>
      <c r="AF89" s="1"/>
      <c r="AU89" s="2">
        <f>H88/H7</f>
        <v>6.8441452468380257</v>
      </c>
    </row>
    <row r="90" spans="1:52" ht="15.45" x14ac:dyDescent="0.4">
      <c r="A90" s="97" t="s">
        <v>61</v>
      </c>
      <c r="B90" s="93"/>
      <c r="C90" s="93"/>
      <c r="D90" s="168">
        <v>886</v>
      </c>
      <c r="E90" s="168">
        <v>0</v>
      </c>
      <c r="F90" s="144">
        <f>AU94</f>
        <v>886</v>
      </c>
      <c r="G90" s="119">
        <f>AU95</f>
        <v>9.0371277029783776</v>
      </c>
      <c r="H90" s="106">
        <f>AU96</f>
        <v>86916.599999999991</v>
      </c>
      <c r="I90" s="57" t="s">
        <v>216</v>
      </c>
      <c r="J90" s="57"/>
      <c r="K90" s="57"/>
      <c r="L90" s="57"/>
      <c r="M90" s="57"/>
      <c r="N90" s="57"/>
      <c r="O90" s="57"/>
      <c r="P90" s="57"/>
      <c r="Q90" s="57"/>
      <c r="R90" s="57"/>
      <c r="S90" s="57"/>
      <c r="T90" s="57"/>
      <c r="U90" s="57"/>
      <c r="V90" s="57"/>
      <c r="W90" s="57"/>
      <c r="X90" s="57"/>
      <c r="Y90" s="57"/>
      <c r="Z90" s="57"/>
      <c r="AA90" s="54"/>
      <c r="AB90" s="55"/>
      <c r="AC90" s="9"/>
      <c r="AD90" s="1"/>
      <c r="AE90" s="4"/>
      <c r="AF90" s="1"/>
      <c r="AU90" s="2">
        <f>F88*C4</f>
        <v>65825.099999999991</v>
      </c>
    </row>
    <row r="91" spans="1:52" ht="15.45" x14ac:dyDescent="0.4">
      <c r="A91" s="97" t="s">
        <v>62</v>
      </c>
      <c r="B91" s="93"/>
      <c r="C91" s="93"/>
      <c r="D91" s="168">
        <v>31</v>
      </c>
      <c r="E91" s="168">
        <v>0</v>
      </c>
      <c r="F91" s="144">
        <f>AU97</f>
        <v>31</v>
      </c>
      <c r="G91" s="119">
        <f>AU98</f>
        <v>0.31619747042023666</v>
      </c>
      <c r="H91" s="106">
        <f>AU99</f>
        <v>3041.1</v>
      </c>
      <c r="I91" s="35"/>
      <c r="J91" s="35"/>
      <c r="K91" s="35"/>
      <c r="L91" s="35"/>
      <c r="M91" s="35"/>
      <c r="N91" s="35"/>
      <c r="O91" s="35"/>
      <c r="P91" s="35"/>
      <c r="Q91" s="35"/>
      <c r="R91" s="35"/>
      <c r="S91" s="35"/>
      <c r="T91" s="35"/>
      <c r="U91" s="35"/>
      <c r="V91" s="35"/>
      <c r="W91" s="35"/>
      <c r="X91" s="35"/>
      <c r="Y91" s="35"/>
      <c r="Z91" s="35"/>
      <c r="AA91" s="56"/>
      <c r="AB91" s="57"/>
      <c r="AC91" s="9"/>
      <c r="AD91" s="10"/>
      <c r="AE91" s="4"/>
      <c r="AF91" s="1"/>
      <c r="AU91" s="2">
        <f>IF(D89=0,E89/C4,D89)</f>
        <v>263</v>
      </c>
    </row>
    <row r="92" spans="1:52" ht="15.45" x14ac:dyDescent="0.4">
      <c r="A92" s="97" t="s">
        <v>239</v>
      </c>
      <c r="B92" s="93"/>
      <c r="C92" s="93"/>
      <c r="D92" s="168">
        <v>225</v>
      </c>
      <c r="E92" s="168">
        <v>0</v>
      </c>
      <c r="F92" s="144">
        <f>AU100</f>
        <v>225</v>
      </c>
      <c r="G92" s="119">
        <f>AU101</f>
        <v>2.2949816401468794</v>
      </c>
      <c r="H92" s="106">
        <f>AU102</f>
        <v>22072.5</v>
      </c>
      <c r="I92" s="35"/>
      <c r="J92" s="35"/>
      <c r="K92" s="35"/>
      <c r="L92" s="35"/>
      <c r="M92" s="35"/>
      <c r="N92" s="35"/>
      <c r="O92" s="35"/>
      <c r="P92" s="35"/>
      <c r="Q92" s="35"/>
      <c r="R92" s="35"/>
      <c r="S92" s="35"/>
      <c r="T92" s="35"/>
      <c r="U92" s="35"/>
      <c r="V92" s="35"/>
      <c r="W92" s="35"/>
      <c r="X92" s="35"/>
      <c r="Y92" s="35"/>
      <c r="Z92" s="35"/>
      <c r="AA92" s="34"/>
      <c r="AB92" s="35"/>
      <c r="AC92" s="1"/>
      <c r="AD92" s="10"/>
      <c r="AE92" s="4"/>
      <c r="AF92" s="1"/>
      <c r="AU92" s="2">
        <f>H89/H7</f>
        <v>2.6825785393716854</v>
      </c>
    </row>
    <row r="93" spans="1:52" ht="15.45" x14ac:dyDescent="0.4">
      <c r="A93" s="153" t="s">
        <v>202</v>
      </c>
      <c r="B93" s="93"/>
      <c r="C93" s="93"/>
      <c r="D93" s="168">
        <v>49</v>
      </c>
      <c r="E93" s="168">
        <v>0</v>
      </c>
      <c r="F93" s="144">
        <f>AU103</f>
        <v>49</v>
      </c>
      <c r="G93" s="119">
        <f>AU104</f>
        <v>0.49979600163198701</v>
      </c>
      <c r="H93" s="106">
        <f>AU105</f>
        <v>4806.8999999999996</v>
      </c>
      <c r="I93" s="35"/>
      <c r="J93" s="35"/>
      <c r="K93" s="35"/>
      <c r="L93" s="35"/>
      <c r="M93" s="35"/>
      <c r="N93" s="35"/>
      <c r="O93" s="35"/>
      <c r="P93" s="35"/>
      <c r="Q93" s="35"/>
      <c r="R93" s="35"/>
      <c r="S93" s="35"/>
      <c r="T93" s="35"/>
      <c r="U93" s="35"/>
      <c r="V93" s="35"/>
      <c r="W93" s="35"/>
      <c r="X93" s="35"/>
      <c r="Y93" s="35"/>
      <c r="Z93" s="35"/>
      <c r="AA93" s="34"/>
      <c r="AB93" s="35"/>
      <c r="AC93" s="10"/>
      <c r="AD93" s="10"/>
      <c r="AE93" s="1"/>
      <c r="AF93" s="1"/>
      <c r="AU93" s="2">
        <f>F89*C4</f>
        <v>25800.3</v>
      </c>
    </row>
    <row r="94" spans="1:52" ht="15.45" hidden="1" x14ac:dyDescent="0.4">
      <c r="A94" s="111"/>
      <c r="B94" s="93"/>
      <c r="C94" s="93"/>
      <c r="D94" s="93"/>
      <c r="E94" s="112"/>
      <c r="F94" s="112"/>
      <c r="G94" s="108"/>
      <c r="H94" s="107"/>
      <c r="I94" s="33"/>
      <c r="J94" s="33"/>
      <c r="K94" s="33"/>
      <c r="L94" s="33"/>
      <c r="M94" s="33"/>
      <c r="N94" s="33"/>
      <c r="O94" s="33"/>
      <c r="P94" s="33"/>
      <c r="Q94" s="33"/>
      <c r="R94" s="33"/>
      <c r="S94" s="33"/>
      <c r="T94" s="33"/>
      <c r="U94" s="33"/>
      <c r="V94" s="33"/>
      <c r="W94" s="33"/>
      <c r="X94" s="33"/>
      <c r="Y94" s="33"/>
      <c r="Z94" s="33"/>
      <c r="AA94" s="34"/>
      <c r="AB94" s="35"/>
      <c r="AC94" s="10"/>
      <c r="AD94" s="10"/>
      <c r="AE94" s="1"/>
      <c r="AF94" s="1"/>
      <c r="AU94" s="2">
        <f>IF(D90=0,E90/C4,D90)</f>
        <v>886</v>
      </c>
      <c r="AY94" s="17"/>
      <c r="AZ94" s="17"/>
    </row>
    <row r="95" spans="1:52" ht="15.45" hidden="1" x14ac:dyDescent="0.4">
      <c r="A95" s="158" t="s">
        <v>63</v>
      </c>
      <c r="B95" s="159"/>
      <c r="C95" s="159"/>
      <c r="D95" s="159"/>
      <c r="E95" s="160"/>
      <c r="F95" s="164">
        <f ca="1">AU106</f>
        <v>0</v>
      </c>
      <c r="G95" s="165">
        <f ca="1">AU107</f>
        <v>0</v>
      </c>
      <c r="H95" s="161"/>
      <c r="I95" s="33"/>
      <c r="J95" s="33"/>
      <c r="K95" s="33"/>
      <c r="L95" s="33"/>
      <c r="M95" s="33"/>
      <c r="N95" s="33"/>
      <c r="O95" s="33"/>
      <c r="P95" s="33"/>
      <c r="Q95" s="33"/>
      <c r="R95" s="33"/>
      <c r="S95" s="33"/>
      <c r="T95" s="33"/>
      <c r="U95" s="33"/>
      <c r="V95" s="33"/>
      <c r="W95" s="33"/>
      <c r="X95" s="33"/>
      <c r="Y95" s="33"/>
      <c r="Z95" s="33"/>
      <c r="AA95" s="32"/>
      <c r="AB95" s="33"/>
      <c r="AC95" s="1"/>
      <c r="AD95" s="10"/>
      <c r="AE95" s="1"/>
      <c r="AF95" s="1"/>
      <c r="AU95" s="2">
        <f>H90/H7</f>
        <v>9.0371277029783776</v>
      </c>
    </row>
    <row r="96" spans="1:52" ht="15.45" x14ac:dyDescent="0.4">
      <c r="A96" s="158" t="s">
        <v>64</v>
      </c>
      <c r="B96" s="159"/>
      <c r="C96" s="162"/>
      <c r="D96" s="167"/>
      <c r="E96" s="163"/>
      <c r="F96" s="112"/>
      <c r="G96" s="112"/>
      <c r="H96" s="166">
        <f ca="1">AU108</f>
        <v>0</v>
      </c>
      <c r="I96" s="33"/>
      <c r="J96" s="33"/>
      <c r="K96" s="33"/>
      <c r="L96" s="33"/>
      <c r="M96" s="33"/>
      <c r="N96" s="33"/>
      <c r="O96" s="33"/>
      <c r="P96" s="33"/>
      <c r="Q96" s="33"/>
      <c r="R96" s="33"/>
      <c r="S96" s="33"/>
      <c r="T96" s="33"/>
      <c r="U96" s="33"/>
      <c r="V96" s="33"/>
      <c r="W96" s="33"/>
      <c r="X96" s="33"/>
      <c r="Y96" s="33"/>
      <c r="Z96" s="33"/>
      <c r="AA96" s="32"/>
      <c r="AB96" s="33"/>
      <c r="AC96" s="1"/>
      <c r="AD96" s="1"/>
      <c r="AE96" s="1"/>
      <c r="AF96" s="1"/>
      <c r="AU96" s="2">
        <f>F90*C4</f>
        <v>86916.599999999991</v>
      </c>
    </row>
    <row r="97" spans="1:47" ht="15.45" x14ac:dyDescent="0.4">
      <c r="A97" s="111" t="s">
        <v>171</v>
      </c>
      <c r="B97" s="103"/>
      <c r="C97" s="93"/>
      <c r="D97" s="105" t="s">
        <v>70</v>
      </c>
      <c r="E97" s="105" t="s">
        <v>54</v>
      </c>
      <c r="F97" s="119"/>
      <c r="G97" s="144"/>
      <c r="H97" s="120" t="s">
        <v>54</v>
      </c>
      <c r="I97" s="33"/>
      <c r="J97" s="33"/>
      <c r="K97" s="33"/>
      <c r="L97" s="33"/>
      <c r="M97" s="33"/>
      <c r="N97" s="33"/>
      <c r="O97" s="33"/>
      <c r="P97" s="33"/>
      <c r="Q97" s="33"/>
      <c r="R97" s="33"/>
      <c r="S97" s="33"/>
      <c r="T97" s="33"/>
      <c r="U97" s="33"/>
      <c r="V97" s="33"/>
      <c r="W97" s="33"/>
      <c r="X97" s="33"/>
      <c r="Y97" s="33"/>
      <c r="Z97" s="33"/>
      <c r="AA97" s="32"/>
      <c r="AB97" s="33"/>
      <c r="AC97" s="1"/>
      <c r="AD97" s="1"/>
      <c r="AE97" s="1"/>
      <c r="AF97" s="1"/>
      <c r="AU97" s="2">
        <f>IF(D91=0,E91/C4,D91)</f>
        <v>31</v>
      </c>
    </row>
    <row r="98" spans="1:47" ht="15.45" x14ac:dyDescent="0.4">
      <c r="A98" s="111"/>
      <c r="B98" s="93"/>
      <c r="C98" s="93"/>
      <c r="D98" s="105" t="s">
        <v>55</v>
      </c>
      <c r="E98" s="105" t="str">
        <f>AU86</f>
        <v xml:space="preserve">  98 Cows</v>
      </c>
      <c r="F98" s="105" t="s">
        <v>55</v>
      </c>
      <c r="G98" s="105" t="s">
        <v>9</v>
      </c>
      <c r="H98" s="120" t="str">
        <f>AU87</f>
        <v xml:space="preserve">  98 Cows</v>
      </c>
      <c r="I98" s="33"/>
      <c r="J98" s="33"/>
      <c r="K98" s="33"/>
      <c r="L98" s="33"/>
      <c r="M98" s="33"/>
      <c r="N98" s="33"/>
      <c r="O98" s="33"/>
      <c r="P98" s="33"/>
      <c r="Q98" s="33"/>
      <c r="R98" s="33"/>
      <c r="S98" s="33"/>
      <c r="T98" s="33"/>
      <c r="U98" s="33"/>
      <c r="V98" s="33"/>
      <c r="W98" s="33"/>
      <c r="X98" s="33"/>
      <c r="Y98" s="33"/>
      <c r="Z98" s="33"/>
      <c r="AA98" s="32"/>
      <c r="AB98" s="33"/>
      <c r="AC98" s="10"/>
      <c r="AD98" s="15"/>
      <c r="AE98" s="1"/>
      <c r="AF98" s="1"/>
      <c r="AU98" s="2">
        <f>H91/H7</f>
        <v>0.31619747042023666</v>
      </c>
    </row>
    <row r="99" spans="1:47" ht="15.45" x14ac:dyDescent="0.4">
      <c r="A99" s="111" t="s">
        <v>243</v>
      </c>
      <c r="B99" s="94"/>
      <c r="C99" s="93"/>
      <c r="D99" s="105" t="s">
        <v>48</v>
      </c>
      <c r="E99" s="105" t="s">
        <v>57</v>
      </c>
      <c r="F99" s="105" t="s">
        <v>57</v>
      </c>
      <c r="G99" s="105" t="s">
        <v>57</v>
      </c>
      <c r="H99" s="120" t="s">
        <v>48</v>
      </c>
      <c r="I99" s="33"/>
      <c r="J99" s="33"/>
      <c r="K99" s="33"/>
      <c r="L99" s="33"/>
      <c r="M99" s="33"/>
      <c r="N99" s="33"/>
      <c r="O99" s="33"/>
      <c r="P99" s="33"/>
      <c r="Q99" s="33"/>
      <c r="R99" s="33"/>
      <c r="S99" s="33"/>
      <c r="T99" s="33"/>
      <c r="U99" s="33"/>
      <c r="V99" s="33"/>
      <c r="W99" s="33"/>
      <c r="X99" s="33"/>
      <c r="Y99" s="33"/>
      <c r="Z99" s="33"/>
      <c r="AA99" s="32"/>
      <c r="AB99" s="33"/>
      <c r="AC99" s="1"/>
      <c r="AD99" s="1"/>
      <c r="AE99" s="1"/>
      <c r="AF99" s="1"/>
      <c r="AU99" s="2">
        <f>F91*C4</f>
        <v>3041.1</v>
      </c>
    </row>
    <row r="100" spans="1:47" ht="15.45" x14ac:dyDescent="0.4">
      <c r="A100" s="153" t="s">
        <v>231</v>
      </c>
      <c r="B100" s="94"/>
      <c r="C100" s="93"/>
      <c r="D100" s="168">
        <v>197</v>
      </c>
      <c r="E100" s="168">
        <v>0</v>
      </c>
      <c r="F100" s="144">
        <f>AU110</f>
        <v>197</v>
      </c>
      <c r="G100" s="119">
        <f>AU111</f>
        <v>2.0093839249286005</v>
      </c>
      <c r="H100" s="106">
        <f>AU112</f>
        <v>19325.699999999997</v>
      </c>
      <c r="I100" s="33"/>
      <c r="J100" s="33"/>
      <c r="K100" s="33"/>
      <c r="L100" s="33"/>
      <c r="M100" s="33"/>
      <c r="N100" s="33"/>
      <c r="O100" s="33"/>
      <c r="P100" s="33"/>
      <c r="Q100" s="33"/>
      <c r="R100" s="33"/>
      <c r="S100" s="33"/>
      <c r="T100" s="33"/>
      <c r="U100" s="33"/>
      <c r="V100" s="33"/>
      <c r="W100" s="33"/>
      <c r="X100" s="33"/>
      <c r="Y100" s="33"/>
      <c r="Z100" s="33"/>
      <c r="AA100" s="32"/>
      <c r="AB100" s="33"/>
      <c r="AC100" s="10"/>
      <c r="AD100" s="1"/>
      <c r="AE100" s="1"/>
      <c r="AF100" s="1"/>
      <c r="AU100" s="2">
        <f>IF(D92=0,E92/C4,D92)</f>
        <v>225</v>
      </c>
    </row>
    <row r="101" spans="1:47" ht="15.45" x14ac:dyDescent="0.4">
      <c r="A101" s="153" t="s">
        <v>232</v>
      </c>
      <c r="B101" s="94"/>
      <c r="C101" s="93"/>
      <c r="D101" s="168">
        <v>260</v>
      </c>
      <c r="E101" s="168">
        <v>0</v>
      </c>
      <c r="F101" s="144">
        <f>AU114</f>
        <v>260</v>
      </c>
      <c r="G101" s="119">
        <f>AU115</f>
        <v>2.6519787841697271</v>
      </c>
      <c r="H101" s="106">
        <f>AU116</f>
        <v>25506</v>
      </c>
      <c r="I101" s="33"/>
      <c r="J101" s="33"/>
      <c r="K101" s="33"/>
      <c r="L101" s="33"/>
      <c r="M101" s="33"/>
      <c r="N101" s="33"/>
      <c r="O101" s="33"/>
      <c r="P101" s="33"/>
      <c r="Q101" s="33"/>
      <c r="R101" s="33"/>
      <c r="S101" s="33"/>
      <c r="T101" s="33"/>
      <c r="U101" s="33"/>
      <c r="V101" s="33"/>
      <c r="W101" s="33"/>
      <c r="X101" s="33"/>
      <c r="Y101" s="33"/>
      <c r="Z101" s="33"/>
      <c r="AA101" s="32"/>
      <c r="AB101" s="33"/>
      <c r="AC101" s="10"/>
      <c r="AD101" s="1"/>
      <c r="AE101" s="1"/>
      <c r="AF101" s="1"/>
      <c r="AU101" s="2">
        <f>H92/H7</f>
        <v>2.2949816401468794</v>
      </c>
    </row>
    <row r="102" spans="1:47" ht="15.45" x14ac:dyDescent="0.4">
      <c r="A102" s="153" t="s">
        <v>233</v>
      </c>
      <c r="B102" s="94"/>
      <c r="C102" s="93"/>
      <c r="D102" s="168">
        <v>62</v>
      </c>
      <c r="E102" s="168">
        <v>0</v>
      </c>
      <c r="F102" s="144">
        <f>AU118</f>
        <v>62</v>
      </c>
      <c r="G102" s="119">
        <f>AU119</f>
        <v>0.63239494084047332</v>
      </c>
      <c r="H102" s="106">
        <f>AU120</f>
        <v>6082.2</v>
      </c>
      <c r="I102" s="39"/>
      <c r="J102" s="39"/>
      <c r="K102" s="39"/>
      <c r="L102" s="39"/>
      <c r="M102" s="39"/>
      <c r="N102" s="39"/>
      <c r="O102" s="39"/>
      <c r="P102" s="39"/>
      <c r="Q102" s="39"/>
      <c r="R102" s="39"/>
      <c r="S102" s="39"/>
      <c r="T102" s="39"/>
      <c r="U102" s="39"/>
      <c r="V102" s="39"/>
      <c r="W102" s="39"/>
      <c r="X102" s="39"/>
      <c r="Y102" s="39"/>
      <c r="Z102" s="39"/>
      <c r="AA102" s="32"/>
      <c r="AB102" s="33"/>
      <c r="AC102" s="10"/>
      <c r="AD102" s="1"/>
      <c r="AE102" s="1"/>
      <c r="AF102" s="1"/>
      <c r="AU102" s="2">
        <f>F92*C4</f>
        <v>22072.5</v>
      </c>
    </row>
    <row r="103" spans="1:47" ht="15.45" x14ac:dyDescent="0.4">
      <c r="A103" s="153" t="s">
        <v>234</v>
      </c>
      <c r="B103" s="94"/>
      <c r="C103" s="93"/>
      <c r="D103" s="168">
        <v>307</v>
      </c>
      <c r="E103" s="168">
        <v>0</v>
      </c>
      <c r="F103" s="144">
        <f>AU122</f>
        <v>307</v>
      </c>
      <c r="G103" s="119">
        <f>AU123</f>
        <v>3.1313749490004081</v>
      </c>
      <c r="H103" s="106">
        <f>AU124</f>
        <v>30116.699999999997</v>
      </c>
      <c r="I103" s="33"/>
      <c r="J103" s="33"/>
      <c r="K103" s="33"/>
      <c r="L103" s="33"/>
      <c r="M103" s="33"/>
      <c r="N103" s="33"/>
      <c r="O103" s="33"/>
      <c r="P103" s="33"/>
      <c r="Q103" s="33"/>
      <c r="R103" s="33"/>
      <c r="S103" s="33"/>
      <c r="T103" s="33"/>
      <c r="U103" s="33"/>
      <c r="V103" s="33"/>
      <c r="W103" s="33"/>
      <c r="X103" s="33"/>
      <c r="Y103" s="33"/>
      <c r="Z103" s="33"/>
      <c r="AA103" s="38"/>
      <c r="AB103" s="39"/>
      <c r="AC103" s="1"/>
      <c r="AD103" s="1"/>
      <c r="AE103" s="1"/>
      <c r="AF103" s="1"/>
      <c r="AU103" s="2">
        <f>IF(D93=0,E93/C4,D93)</f>
        <v>49</v>
      </c>
    </row>
    <row r="104" spans="1:47" ht="15.45" x14ac:dyDescent="0.4">
      <c r="A104" s="153" t="s">
        <v>244</v>
      </c>
      <c r="B104" s="94"/>
      <c r="C104" s="93"/>
      <c r="D104" s="168">
        <v>219</v>
      </c>
      <c r="E104" s="168">
        <v>0</v>
      </c>
      <c r="F104" s="144">
        <f>AU126</f>
        <v>219</v>
      </c>
      <c r="G104" s="119">
        <f>AU127</f>
        <v>2.2337821297429623</v>
      </c>
      <c r="H104" s="106">
        <f>AU128</f>
        <v>21483.899999999998</v>
      </c>
      <c r="I104" s="35"/>
      <c r="J104" s="35"/>
      <c r="K104" s="35"/>
      <c r="L104" s="35"/>
      <c r="M104" s="35"/>
      <c r="N104" s="35"/>
      <c r="O104" s="35"/>
      <c r="P104" s="35"/>
      <c r="Q104" s="35"/>
      <c r="R104" s="35"/>
      <c r="S104" s="35"/>
      <c r="T104" s="35"/>
      <c r="U104" s="35"/>
      <c r="V104" s="35"/>
      <c r="W104" s="35"/>
      <c r="X104" s="35"/>
      <c r="Y104" s="35"/>
      <c r="Z104" s="35"/>
      <c r="AA104" s="32"/>
      <c r="AB104" s="33"/>
      <c r="AC104" s="1"/>
      <c r="AD104" s="1"/>
      <c r="AE104" s="1"/>
      <c r="AF104" s="1"/>
      <c r="AU104" s="2">
        <f>H93/H7</f>
        <v>0.49979600163198701</v>
      </c>
    </row>
    <row r="105" spans="1:47" ht="15.45" x14ac:dyDescent="0.4">
      <c r="A105" s="153" t="s">
        <v>245</v>
      </c>
      <c r="B105" s="94"/>
      <c r="C105" s="93"/>
      <c r="D105" s="168">
        <v>257</v>
      </c>
      <c r="E105" s="168">
        <v>0</v>
      </c>
      <c r="F105" s="144">
        <f>AU130</f>
        <v>257</v>
      </c>
      <c r="G105" s="119">
        <f>AU131</f>
        <v>2.6213790289677683</v>
      </c>
      <c r="H105" s="106">
        <f>AU132</f>
        <v>25211.699999999997</v>
      </c>
      <c r="I105" s="27"/>
      <c r="J105" s="27"/>
      <c r="K105" s="27"/>
      <c r="L105" s="27"/>
      <c r="M105" s="27"/>
      <c r="N105" s="27"/>
      <c r="O105" s="27"/>
      <c r="P105" s="27"/>
      <c r="Q105" s="27"/>
      <c r="R105" s="27"/>
      <c r="S105" s="27"/>
      <c r="T105" s="27"/>
      <c r="U105" s="27"/>
      <c r="V105" s="27"/>
      <c r="W105" s="27"/>
      <c r="X105" s="27"/>
      <c r="Y105" s="27"/>
      <c r="Z105" s="27"/>
      <c r="AA105" s="34"/>
      <c r="AB105" s="35"/>
      <c r="AC105" s="10"/>
      <c r="AD105" s="1"/>
      <c r="AE105" s="1"/>
      <c r="AF105" s="1"/>
      <c r="AU105" s="2">
        <f>F93*C4</f>
        <v>4806.8999999999996</v>
      </c>
    </row>
    <row r="106" spans="1:47" ht="15.45" x14ac:dyDescent="0.4">
      <c r="A106" s="153" t="s">
        <v>235</v>
      </c>
      <c r="B106" s="94"/>
      <c r="C106" s="93"/>
      <c r="D106" s="168">
        <v>102</v>
      </c>
      <c r="E106" s="168">
        <v>0</v>
      </c>
      <c r="F106" s="144">
        <f>AU134</f>
        <v>102</v>
      </c>
      <c r="G106" s="119">
        <f>AU135</f>
        <v>1.0403916768665851</v>
      </c>
      <c r="H106" s="106">
        <f>AU136</f>
        <v>10006.199999999999</v>
      </c>
      <c r="I106" s="27"/>
      <c r="J106" s="27"/>
      <c r="K106" s="27"/>
      <c r="L106" s="27"/>
      <c r="M106" s="27"/>
      <c r="N106" s="27"/>
      <c r="O106" s="27"/>
      <c r="P106" s="27"/>
      <c r="Q106" s="27"/>
      <c r="R106" s="27"/>
      <c r="S106" s="27"/>
      <c r="T106" s="27"/>
      <c r="U106" s="27"/>
      <c r="V106" s="27"/>
      <c r="W106" s="27"/>
      <c r="X106" s="27"/>
      <c r="Y106" s="27"/>
      <c r="Z106" s="27"/>
      <c r="AA106" s="26"/>
      <c r="AB106" s="27"/>
      <c r="AC106" s="10"/>
      <c r="AD106" s="1"/>
      <c r="AE106" s="1"/>
      <c r="AF106" s="1"/>
      <c r="AU106" s="2">
        <f ca="1">IF(AE21=0,0,HLOOKUP(A2,INDIRECT(AE21),12,FALSE)/D96)</f>
        <v>0</v>
      </c>
    </row>
    <row r="107" spans="1:47" ht="15.45" x14ac:dyDescent="0.4">
      <c r="A107" s="153" t="s">
        <v>237</v>
      </c>
      <c r="B107" s="94"/>
      <c r="C107" s="93"/>
      <c r="D107" s="168">
        <v>0</v>
      </c>
      <c r="E107" s="168">
        <v>0</v>
      </c>
      <c r="F107" s="144">
        <f>AU138</f>
        <v>0</v>
      </c>
      <c r="G107" s="119">
        <f>AU139</f>
        <v>0</v>
      </c>
      <c r="H107" s="106">
        <f>AU140</f>
        <v>0</v>
      </c>
      <c r="I107" s="27"/>
      <c r="J107" s="27"/>
      <c r="K107" s="27"/>
      <c r="L107" s="27"/>
      <c r="M107" s="27"/>
      <c r="N107" s="27"/>
      <c r="O107" s="27"/>
      <c r="P107" s="27"/>
      <c r="Q107" s="27"/>
      <c r="R107" s="27"/>
      <c r="S107" s="27"/>
      <c r="T107" s="27"/>
      <c r="U107" s="27"/>
      <c r="V107" s="27"/>
      <c r="W107" s="27"/>
      <c r="X107" s="27"/>
      <c r="Y107" s="27"/>
      <c r="Z107" s="27"/>
      <c r="AA107" s="26"/>
      <c r="AB107" s="27"/>
      <c r="AC107" s="10"/>
      <c r="AD107" s="1"/>
      <c r="AE107" s="1"/>
      <c r="AF107" s="1"/>
      <c r="AU107" s="2">
        <f ca="1">H96/H7</f>
        <v>0</v>
      </c>
    </row>
    <row r="108" spans="1:47" ht="15.45" x14ac:dyDescent="0.4">
      <c r="A108" s="153" t="s">
        <v>236</v>
      </c>
      <c r="B108" s="94"/>
      <c r="C108" s="93"/>
      <c r="D108" s="168">
        <v>55</v>
      </c>
      <c r="E108" s="168">
        <v>0</v>
      </c>
      <c r="F108" s="144">
        <f>AU142</f>
        <v>55</v>
      </c>
      <c r="G108" s="119">
        <f>AU143</f>
        <v>0.56099551203590381</v>
      </c>
      <c r="H108" s="106">
        <f>AU144</f>
        <v>5395.5</v>
      </c>
      <c r="I108" s="27"/>
      <c r="J108" s="27"/>
      <c r="K108" s="27"/>
      <c r="L108" s="27"/>
      <c r="M108" s="27"/>
      <c r="N108" s="27"/>
      <c r="O108" s="27"/>
      <c r="P108" s="27"/>
      <c r="Q108" s="27"/>
      <c r="R108" s="27"/>
      <c r="S108" s="27"/>
      <c r="T108" s="27"/>
      <c r="U108" s="27"/>
      <c r="V108" s="27"/>
      <c r="W108" s="27"/>
      <c r="X108" s="27"/>
      <c r="Y108" s="27"/>
      <c r="Z108" s="27"/>
      <c r="AA108" s="26"/>
      <c r="AB108" s="27"/>
      <c r="AC108" s="10"/>
      <c r="AD108" s="1"/>
      <c r="AE108" s="1"/>
      <c r="AF108" s="1"/>
      <c r="AU108" s="2">
        <f ca="1">F95*C4</f>
        <v>0</v>
      </c>
    </row>
    <row r="109" spans="1:47" ht="15.45" x14ac:dyDescent="0.4">
      <c r="A109" s="111"/>
      <c r="B109" s="93"/>
      <c r="C109" s="93"/>
      <c r="D109" s="93"/>
      <c r="E109" s="112"/>
      <c r="F109" s="105" t="s">
        <v>68</v>
      </c>
      <c r="G109" s="105" t="s">
        <v>68</v>
      </c>
      <c r="H109" s="120" t="s">
        <v>68</v>
      </c>
      <c r="I109" s="27"/>
      <c r="J109" s="27"/>
      <c r="K109" s="27"/>
      <c r="L109" s="27"/>
      <c r="M109" s="27"/>
      <c r="N109" s="27"/>
      <c r="O109" s="27"/>
      <c r="P109" s="27"/>
      <c r="Q109" s="27"/>
      <c r="R109" s="27"/>
      <c r="S109" s="27"/>
      <c r="T109" s="27"/>
      <c r="U109" s="27"/>
      <c r="V109" s="27"/>
      <c r="W109" s="27"/>
      <c r="X109" s="27"/>
      <c r="Y109" s="27"/>
      <c r="Z109" s="27"/>
      <c r="AA109" s="26"/>
      <c r="AB109" s="27"/>
      <c r="AC109" s="10"/>
      <c r="AD109" s="1"/>
      <c r="AE109" s="1"/>
      <c r="AF109" s="1"/>
      <c r="AU109" s="240">
        <f>D100*C100</f>
        <v>0</v>
      </c>
    </row>
    <row r="110" spans="1:47" ht="15.45" x14ac:dyDescent="0.4">
      <c r="A110" s="97" t="s">
        <v>69</v>
      </c>
      <c r="B110" s="93"/>
      <c r="C110" s="93"/>
      <c r="D110" s="93"/>
      <c r="E110" s="112"/>
      <c r="F110" s="144">
        <f ca="1">AU145</f>
        <v>3584</v>
      </c>
      <c r="G110" s="119">
        <f ca="1">AU146</f>
        <v>36.556507547939631</v>
      </c>
      <c r="H110" s="106">
        <f ca="1">AU147</f>
        <v>351590.40000000008</v>
      </c>
      <c r="I110" s="39"/>
      <c r="J110" s="39"/>
      <c r="K110" s="39"/>
      <c r="L110" s="39"/>
      <c r="M110" s="39"/>
      <c r="N110" s="39"/>
      <c r="O110" s="39"/>
      <c r="P110" s="39"/>
      <c r="Q110" s="39"/>
      <c r="R110" s="39"/>
      <c r="S110" s="39"/>
      <c r="T110" s="39"/>
      <c r="U110" s="39"/>
      <c r="V110" s="39"/>
      <c r="W110" s="39"/>
      <c r="X110" s="39"/>
      <c r="Y110" s="39"/>
      <c r="Z110" s="39"/>
      <c r="AA110" s="26"/>
      <c r="AB110" s="27"/>
      <c r="AC110" s="10"/>
      <c r="AD110" s="1"/>
      <c r="AE110" s="1"/>
      <c r="AF110" s="1"/>
      <c r="AU110" s="2">
        <f>IF(D100=0,E100/C4,D100)</f>
        <v>197</v>
      </c>
    </row>
    <row r="111" spans="1:47" ht="15.45" hidden="1" x14ac:dyDescent="0.4">
      <c r="A111" s="111"/>
      <c r="B111" s="93"/>
      <c r="C111" s="93"/>
      <c r="D111" s="93"/>
      <c r="E111" s="112"/>
      <c r="F111" s="112"/>
      <c r="G111" s="108"/>
      <c r="H111" s="107"/>
      <c r="I111" s="39"/>
      <c r="J111" s="39"/>
      <c r="K111" s="39"/>
      <c r="L111" s="39"/>
      <c r="M111" s="39"/>
      <c r="N111" s="39"/>
      <c r="O111" s="39"/>
      <c r="P111" s="39"/>
      <c r="Q111" s="39"/>
      <c r="R111" s="39"/>
      <c r="S111" s="39"/>
      <c r="T111" s="39"/>
      <c r="U111" s="39"/>
      <c r="V111" s="39"/>
      <c r="W111" s="39"/>
      <c r="X111" s="39"/>
      <c r="Y111" s="39"/>
      <c r="Z111" s="39"/>
      <c r="AA111" s="38"/>
      <c r="AB111" s="39"/>
      <c r="AC111" s="10"/>
      <c r="AD111" s="1"/>
      <c r="AE111" s="1"/>
      <c r="AF111" s="1"/>
      <c r="AU111" s="2">
        <f>H100/H7</f>
        <v>2.0093839249286005</v>
      </c>
    </row>
    <row r="112" spans="1:47" ht="15.45" hidden="1" x14ac:dyDescent="0.4">
      <c r="A112" s="111"/>
      <c r="B112" s="93"/>
      <c r="C112" s="93"/>
      <c r="D112" s="93"/>
      <c r="E112" s="93"/>
      <c r="F112" s="93"/>
      <c r="G112" s="93"/>
      <c r="H112" s="104"/>
      <c r="I112" s="39"/>
      <c r="J112" s="39"/>
      <c r="K112" s="39"/>
      <c r="L112" s="39"/>
      <c r="M112" s="39"/>
      <c r="N112" s="39"/>
      <c r="O112" s="39"/>
      <c r="P112" s="39"/>
      <c r="Q112" s="39"/>
      <c r="R112" s="39"/>
      <c r="S112" s="39"/>
      <c r="T112" s="39"/>
      <c r="U112" s="39"/>
      <c r="V112" s="39"/>
      <c r="W112" s="39"/>
      <c r="X112" s="39"/>
      <c r="Y112" s="39"/>
      <c r="Z112" s="39"/>
      <c r="AA112" s="38"/>
      <c r="AB112" s="39"/>
      <c r="AC112" s="10"/>
      <c r="AD112" s="1"/>
      <c r="AE112" s="1"/>
      <c r="AF112" s="1"/>
      <c r="AU112" s="2">
        <f>F100*C4</f>
        <v>19325.699999999997</v>
      </c>
    </row>
    <row r="113" spans="1:47" ht="15.45" hidden="1" x14ac:dyDescent="0.4">
      <c r="A113" s="111"/>
      <c r="B113" s="93"/>
      <c r="C113" s="93"/>
      <c r="D113" s="93"/>
      <c r="E113" s="93"/>
      <c r="F113" s="93"/>
      <c r="G113" s="93"/>
      <c r="H113" s="104"/>
      <c r="I113" s="33"/>
      <c r="J113" s="33"/>
      <c r="K113" s="33"/>
      <c r="L113" s="33"/>
      <c r="M113" s="33"/>
      <c r="N113" s="33"/>
      <c r="O113" s="33"/>
      <c r="P113" s="33"/>
      <c r="Q113" s="33"/>
      <c r="R113" s="33"/>
      <c r="S113" s="33"/>
      <c r="T113" s="33"/>
      <c r="U113" s="33"/>
      <c r="V113" s="33"/>
      <c r="W113" s="33"/>
      <c r="X113" s="33"/>
      <c r="Y113" s="33"/>
      <c r="Z113" s="33"/>
      <c r="AA113" s="38"/>
      <c r="AB113" s="39"/>
      <c r="AC113" s="10"/>
      <c r="AD113" s="1"/>
      <c r="AE113" s="1"/>
      <c r="AF113" s="1"/>
      <c r="AU113" s="240">
        <f>D101*C101</f>
        <v>0</v>
      </c>
    </row>
    <row r="114" spans="1:47" ht="15.45" hidden="1" x14ac:dyDescent="0.4">
      <c r="A114" s="111"/>
      <c r="B114" s="93"/>
      <c r="C114" s="93"/>
      <c r="D114" s="93"/>
      <c r="E114" s="93"/>
      <c r="F114" s="93"/>
      <c r="G114" s="93"/>
      <c r="H114" s="104"/>
      <c r="I114" s="33"/>
      <c r="J114" s="33"/>
      <c r="K114" s="33"/>
      <c r="L114" s="33"/>
      <c r="M114" s="33"/>
      <c r="N114" s="33"/>
      <c r="O114" s="33"/>
      <c r="P114" s="33"/>
      <c r="Q114" s="33"/>
      <c r="R114" s="33"/>
      <c r="S114" s="33"/>
      <c r="T114" s="33"/>
      <c r="U114" s="33"/>
      <c r="V114" s="33"/>
      <c r="W114" s="33"/>
      <c r="X114" s="33"/>
      <c r="Y114" s="33"/>
      <c r="Z114" s="33"/>
      <c r="AA114" s="32"/>
      <c r="AB114" s="33"/>
      <c r="AC114" s="10"/>
      <c r="AD114" s="1"/>
      <c r="AE114" s="1"/>
      <c r="AF114" s="1"/>
      <c r="AU114" s="2">
        <f>IF(D101=0,E101/C4,D101)</f>
        <v>260</v>
      </c>
    </row>
    <row r="115" spans="1:47" ht="15.45" x14ac:dyDescent="0.4">
      <c r="A115" s="111"/>
      <c r="B115" s="93"/>
      <c r="C115" s="93"/>
      <c r="D115" s="93"/>
      <c r="E115" s="93"/>
      <c r="F115" s="93"/>
      <c r="G115" s="93"/>
      <c r="H115" s="104"/>
      <c r="I115" s="33"/>
      <c r="J115" s="33"/>
      <c r="K115" s="33"/>
      <c r="L115" s="33"/>
      <c r="M115" s="33"/>
      <c r="N115" s="33"/>
      <c r="O115" s="33"/>
      <c r="P115" s="33"/>
      <c r="Q115" s="33"/>
      <c r="R115" s="33"/>
      <c r="S115" s="33"/>
      <c r="T115" s="33"/>
      <c r="U115" s="33"/>
      <c r="V115" s="33"/>
      <c r="W115" s="33"/>
      <c r="X115" s="33"/>
      <c r="Y115" s="33"/>
      <c r="Z115" s="33"/>
      <c r="AA115" s="32"/>
      <c r="AB115" s="33"/>
      <c r="AC115" s="10"/>
      <c r="AD115" s="1"/>
      <c r="AE115" s="1"/>
      <c r="AF115" s="1"/>
      <c r="AU115" s="2">
        <f>H101/H7</f>
        <v>2.6519787841697271</v>
      </c>
    </row>
    <row r="116" spans="1:47" ht="15.45" x14ac:dyDescent="0.4">
      <c r="A116" s="111"/>
      <c r="B116" s="93"/>
      <c r="C116" s="93"/>
      <c r="D116" s="167" t="s">
        <v>175</v>
      </c>
      <c r="E116" s="93"/>
      <c r="F116" s="93"/>
      <c r="G116" s="93"/>
      <c r="H116" s="104"/>
      <c r="I116" s="33"/>
      <c r="J116" s="33"/>
      <c r="K116" s="33"/>
      <c r="L116" s="33"/>
      <c r="M116" s="33"/>
      <c r="N116" s="33"/>
      <c r="O116" s="33"/>
      <c r="P116" s="33"/>
      <c r="Q116" s="33"/>
      <c r="R116" s="33"/>
      <c r="S116" s="33"/>
      <c r="T116" s="33"/>
      <c r="U116" s="33"/>
      <c r="V116" s="33"/>
      <c r="W116" s="33"/>
      <c r="X116" s="33"/>
      <c r="Y116" s="33"/>
      <c r="Z116" s="33"/>
      <c r="AA116" s="32"/>
      <c r="AB116" s="33"/>
      <c r="AC116" s="10"/>
      <c r="AD116" s="1"/>
      <c r="AE116" s="1"/>
      <c r="AF116" s="1"/>
      <c r="AU116" s="2">
        <f>F101*C4</f>
        <v>25506</v>
      </c>
    </row>
    <row r="117" spans="1:47" ht="15.45" x14ac:dyDescent="0.4">
      <c r="A117" s="111"/>
      <c r="B117" s="93"/>
      <c r="C117" s="93"/>
      <c r="D117" s="105" t="s">
        <v>70</v>
      </c>
      <c r="E117" s="105" t="s">
        <v>54</v>
      </c>
      <c r="F117" s="144"/>
      <c r="G117" s="105"/>
      <c r="H117" s="120" t="s">
        <v>54</v>
      </c>
      <c r="I117" s="33"/>
      <c r="J117" s="33"/>
      <c r="K117" s="33"/>
      <c r="L117" s="33"/>
      <c r="M117" s="33"/>
      <c r="N117" s="33"/>
      <c r="O117" s="33"/>
      <c r="P117" s="33"/>
      <c r="Q117" s="33"/>
      <c r="R117" s="33"/>
      <c r="S117" s="33"/>
      <c r="T117" s="33"/>
      <c r="U117" s="33"/>
      <c r="V117" s="33"/>
      <c r="W117" s="33"/>
      <c r="X117" s="33"/>
      <c r="Y117" s="33"/>
      <c r="Z117" s="33"/>
      <c r="AA117" s="32"/>
      <c r="AB117" s="33"/>
      <c r="AC117" s="10"/>
      <c r="AD117" s="1"/>
      <c r="AE117" s="7" t="s">
        <v>78</v>
      </c>
      <c r="AF117" s="1"/>
      <c r="AU117" s="240">
        <f>D102*C102</f>
        <v>0</v>
      </c>
    </row>
    <row r="118" spans="1:47" ht="15.45" x14ac:dyDescent="0.4">
      <c r="A118" s="111"/>
      <c r="B118" s="93"/>
      <c r="C118" s="93"/>
      <c r="D118" s="105" t="s">
        <v>55</v>
      </c>
      <c r="E118" s="105" t="str">
        <f>AU148</f>
        <v xml:space="preserve"> 98 Cows</v>
      </c>
      <c r="F118" s="105" t="s">
        <v>55</v>
      </c>
      <c r="G118" s="105" t="s">
        <v>9</v>
      </c>
      <c r="H118" s="120" t="str">
        <f>AU149</f>
        <v xml:space="preserve">  98 Cows</v>
      </c>
      <c r="I118" s="33"/>
      <c r="J118" s="33"/>
      <c r="K118" s="33"/>
      <c r="L118" s="33"/>
      <c r="M118" s="33"/>
      <c r="N118" s="33"/>
      <c r="O118" s="33"/>
      <c r="P118" s="33"/>
      <c r="Q118" s="33"/>
      <c r="R118" s="33"/>
      <c r="S118" s="33"/>
      <c r="T118" s="33"/>
      <c r="U118" s="33"/>
      <c r="V118" s="33"/>
      <c r="W118" s="33"/>
      <c r="X118" s="33"/>
      <c r="Y118" s="33"/>
      <c r="Z118" s="33"/>
      <c r="AA118" s="32"/>
      <c r="AB118" s="33"/>
      <c r="AC118" s="1"/>
      <c r="AD118" s="10"/>
      <c r="AE118" s="7" t="s">
        <v>80</v>
      </c>
      <c r="AF118" s="1"/>
      <c r="AU118" s="2">
        <f>IF(D102=0,E102/C4,D102)</f>
        <v>62</v>
      </c>
    </row>
    <row r="119" spans="1:47" ht="15.45" x14ac:dyDescent="0.4">
      <c r="A119" s="97" t="s">
        <v>71</v>
      </c>
      <c r="B119" s="93"/>
      <c r="C119" s="134"/>
      <c r="D119" s="105" t="s">
        <v>48</v>
      </c>
      <c r="E119" s="105" t="s">
        <v>48</v>
      </c>
      <c r="F119" s="105" t="s">
        <v>48</v>
      </c>
      <c r="G119" s="105" t="s">
        <v>72</v>
      </c>
      <c r="H119" s="120" t="s">
        <v>73</v>
      </c>
      <c r="I119" s="33"/>
      <c r="J119" s="33"/>
      <c r="K119" s="33"/>
      <c r="L119" s="33"/>
      <c r="M119" s="33"/>
      <c r="N119" s="33"/>
      <c r="O119" s="33"/>
      <c r="P119" s="33"/>
      <c r="Q119" s="33"/>
      <c r="R119" s="33"/>
      <c r="S119" s="33"/>
      <c r="T119" s="33"/>
      <c r="U119" s="33"/>
      <c r="V119" s="33"/>
      <c r="W119" s="33"/>
      <c r="X119" s="33"/>
      <c r="Y119" s="33"/>
      <c r="Z119" s="33"/>
      <c r="AA119" s="32"/>
      <c r="AB119" s="33"/>
      <c r="AC119" s="10"/>
      <c r="AD119" s="10"/>
      <c r="AE119" s="7" t="s">
        <v>82</v>
      </c>
      <c r="AF119" s="1"/>
      <c r="AU119" s="2">
        <f>H102/H7</f>
        <v>0.63239494084047332</v>
      </c>
    </row>
    <row r="120" spans="1:47" ht="15.45" x14ac:dyDescent="0.4">
      <c r="A120" s="153" t="s">
        <v>74</v>
      </c>
      <c r="B120" s="154" t="s">
        <v>67</v>
      </c>
      <c r="C120" s="93"/>
      <c r="D120" s="168">
        <v>84</v>
      </c>
      <c r="E120" s="168">
        <v>0</v>
      </c>
      <c r="F120" s="144">
        <f>AU150</f>
        <v>84</v>
      </c>
      <c r="G120" s="119">
        <f>AU151</f>
        <v>0.85679314565483489</v>
      </c>
      <c r="H120" s="106">
        <f>AU152</f>
        <v>8240.4</v>
      </c>
      <c r="I120" s="33"/>
      <c r="J120" s="33"/>
      <c r="K120" s="33"/>
      <c r="L120" s="33"/>
      <c r="M120" s="33"/>
      <c r="N120" s="33"/>
      <c r="O120" s="33"/>
      <c r="P120" s="33"/>
      <c r="Q120" s="33"/>
      <c r="R120" s="33"/>
      <c r="S120" s="33"/>
      <c r="T120" s="33"/>
      <c r="U120" s="33"/>
      <c r="V120" s="33"/>
      <c r="W120" s="33"/>
      <c r="X120" s="33"/>
      <c r="Y120" s="33"/>
      <c r="Z120" s="33"/>
      <c r="AA120" s="32"/>
      <c r="AB120" s="33"/>
      <c r="AC120" s="1"/>
      <c r="AD120" s="4"/>
      <c r="AE120" s="7" t="s">
        <v>84</v>
      </c>
      <c r="AF120" s="1"/>
      <c r="AU120" s="2">
        <f>F102*C4</f>
        <v>6082.2</v>
      </c>
    </row>
    <row r="121" spans="1:47" ht="15.45" x14ac:dyDescent="0.4">
      <c r="A121" s="153" t="s">
        <v>65</v>
      </c>
      <c r="B121" s="154" t="s">
        <v>67</v>
      </c>
      <c r="C121" s="93"/>
      <c r="D121" s="168">
        <v>0</v>
      </c>
      <c r="E121" s="168">
        <v>0</v>
      </c>
      <c r="F121" s="144">
        <f>AU153</f>
        <v>0</v>
      </c>
      <c r="G121" s="119">
        <f>AU154</f>
        <v>0</v>
      </c>
      <c r="H121" s="106">
        <f>AU155</f>
        <v>0</v>
      </c>
      <c r="I121" s="33"/>
      <c r="J121" s="33"/>
      <c r="K121" s="33"/>
      <c r="L121" s="33"/>
      <c r="M121" s="33"/>
      <c r="N121" s="33"/>
      <c r="O121" s="33"/>
      <c r="P121" s="33"/>
      <c r="Q121" s="33"/>
      <c r="R121" s="33"/>
      <c r="S121" s="33"/>
      <c r="T121" s="33"/>
      <c r="U121" s="33"/>
      <c r="V121" s="33"/>
      <c r="W121" s="33"/>
      <c r="X121" s="33"/>
      <c r="Y121" s="33"/>
      <c r="Z121" s="33"/>
      <c r="AA121" s="32"/>
      <c r="AB121" s="33"/>
      <c r="AC121" s="10"/>
      <c r="AD121" s="1"/>
      <c r="AE121" s="7" t="s">
        <v>86</v>
      </c>
      <c r="AF121" s="1"/>
      <c r="AU121" s="240">
        <f>D103*C103</f>
        <v>0</v>
      </c>
    </row>
    <row r="122" spans="1:47" ht="15.45" x14ac:dyDescent="0.4">
      <c r="A122" s="153" t="s">
        <v>66</v>
      </c>
      <c r="B122" s="154" t="s">
        <v>67</v>
      </c>
      <c r="C122" s="134"/>
      <c r="D122" s="168">
        <v>0</v>
      </c>
      <c r="E122" s="168">
        <v>0</v>
      </c>
      <c r="F122" s="144">
        <f>AU156</f>
        <v>0</v>
      </c>
      <c r="G122" s="119">
        <f>AU157</f>
        <v>0</v>
      </c>
      <c r="H122" s="106">
        <f>AU158</f>
        <v>0</v>
      </c>
      <c r="I122" s="33"/>
      <c r="J122" s="33"/>
      <c r="K122" s="33"/>
      <c r="L122" s="33"/>
      <c r="M122" s="33"/>
      <c r="N122" s="33"/>
      <c r="O122" s="33"/>
      <c r="P122" s="33"/>
      <c r="Q122" s="33"/>
      <c r="R122" s="33"/>
      <c r="S122" s="33"/>
      <c r="T122" s="33"/>
      <c r="U122" s="33"/>
      <c r="V122" s="33"/>
      <c r="W122" s="33"/>
      <c r="X122" s="33"/>
      <c r="Y122" s="33"/>
      <c r="Z122" s="33"/>
      <c r="AA122" s="32"/>
      <c r="AB122" s="33"/>
      <c r="AC122" s="10"/>
      <c r="AD122" s="5">
        <f ca="1">AU186</f>
        <v>11075</v>
      </c>
      <c r="AE122" s="4"/>
      <c r="AF122" s="1"/>
      <c r="AU122" s="2">
        <f>IF(D103=0,E103/C4,D103)</f>
        <v>307</v>
      </c>
    </row>
    <row r="123" spans="1:47" ht="15.45" x14ac:dyDescent="0.4">
      <c r="A123" s="97" t="s">
        <v>75</v>
      </c>
      <c r="B123" s="93"/>
      <c r="C123" s="93"/>
      <c r="D123" s="168">
        <v>656</v>
      </c>
      <c r="E123" s="168">
        <v>0</v>
      </c>
      <c r="F123" s="144">
        <f>AU159</f>
        <v>656</v>
      </c>
      <c r="G123" s="119">
        <f>AU160</f>
        <v>6.691146470828234</v>
      </c>
      <c r="H123" s="106">
        <f>AU161</f>
        <v>64353.599999999999</v>
      </c>
      <c r="I123" s="33"/>
      <c r="J123" s="33"/>
      <c r="K123" s="33"/>
      <c r="L123" s="33"/>
      <c r="M123" s="33"/>
      <c r="N123" s="33"/>
      <c r="O123" s="33"/>
      <c r="P123" s="33"/>
      <c r="Q123" s="33"/>
      <c r="R123" s="33"/>
      <c r="S123" s="33"/>
      <c r="T123" s="33"/>
      <c r="U123" s="33"/>
      <c r="V123" s="33"/>
      <c r="W123" s="33"/>
      <c r="X123" s="33"/>
      <c r="Y123" s="33"/>
      <c r="Z123" s="33"/>
      <c r="AA123" s="32"/>
      <c r="AB123" s="33"/>
      <c r="AC123" s="10"/>
      <c r="AD123" s="10"/>
      <c r="AE123" s="4"/>
      <c r="AF123" s="1"/>
      <c r="AU123" s="2">
        <f>H103/H7</f>
        <v>3.1313749490004081</v>
      </c>
    </row>
    <row r="124" spans="1:47" ht="15.45" x14ac:dyDescent="0.4">
      <c r="A124" s="97" t="s">
        <v>76</v>
      </c>
      <c r="B124" s="93"/>
      <c r="C124" s="93"/>
      <c r="D124" s="168">
        <v>232</v>
      </c>
      <c r="E124" s="168">
        <v>0</v>
      </c>
      <c r="F124" s="144">
        <f>AU162</f>
        <v>232</v>
      </c>
      <c r="G124" s="119">
        <f>AU163</f>
        <v>2.3663810689514486</v>
      </c>
      <c r="H124" s="106">
        <f>AU164</f>
        <v>22759.199999999997</v>
      </c>
      <c r="I124" s="33"/>
      <c r="J124" s="33"/>
      <c r="K124" s="33"/>
      <c r="L124" s="33"/>
      <c r="M124" s="33"/>
      <c r="N124" s="33"/>
      <c r="O124" s="33"/>
      <c r="P124" s="33"/>
      <c r="Q124" s="33"/>
      <c r="R124" s="33"/>
      <c r="S124" s="33"/>
      <c r="T124" s="33"/>
      <c r="U124" s="33"/>
      <c r="V124" s="33"/>
      <c r="W124" s="33"/>
      <c r="X124" s="33"/>
      <c r="Y124" s="33"/>
      <c r="Z124" s="33"/>
      <c r="AA124" s="32"/>
      <c r="AB124" s="33"/>
      <c r="AC124" s="10"/>
      <c r="AD124" s="10"/>
      <c r="AE124" s="7" t="s">
        <v>90</v>
      </c>
      <c r="AF124" s="1"/>
      <c r="AU124" s="2">
        <f>F103*C4</f>
        <v>30116.699999999997</v>
      </c>
    </row>
    <row r="125" spans="1:47" ht="15.45" x14ac:dyDescent="0.4">
      <c r="A125" s="97" t="s">
        <v>77</v>
      </c>
      <c r="B125" s="93"/>
      <c r="C125" s="108"/>
      <c r="D125" s="168">
        <v>126</v>
      </c>
      <c r="E125" s="168">
        <v>0</v>
      </c>
      <c r="F125" s="144">
        <f>AU165</f>
        <v>126</v>
      </c>
      <c r="G125" s="119">
        <f>AU166</f>
        <v>1.2851897184822523</v>
      </c>
      <c r="H125" s="106">
        <f>AU167</f>
        <v>12360.599999999999</v>
      </c>
      <c r="I125" s="33"/>
      <c r="J125" s="33"/>
      <c r="K125" s="33"/>
      <c r="L125" s="33"/>
      <c r="M125" s="33"/>
      <c r="N125" s="33"/>
      <c r="O125" s="33"/>
      <c r="P125" s="33"/>
      <c r="Q125" s="33"/>
      <c r="R125" s="33"/>
      <c r="S125" s="33"/>
      <c r="T125" s="33"/>
      <c r="U125" s="33"/>
      <c r="V125" s="33"/>
      <c r="W125" s="33"/>
      <c r="X125" s="33"/>
      <c r="Y125" s="33"/>
      <c r="Z125" s="33"/>
      <c r="AA125" s="32"/>
      <c r="AB125" s="33"/>
      <c r="AC125" s="10"/>
      <c r="AD125" s="10"/>
      <c r="AE125" s="1"/>
      <c r="AF125" s="1"/>
      <c r="AU125" s="240">
        <f>D104*C104</f>
        <v>0</v>
      </c>
    </row>
    <row r="126" spans="1:47" ht="15.45" x14ac:dyDescent="0.4">
      <c r="A126" s="97" t="s">
        <v>203</v>
      </c>
      <c r="B126" s="93"/>
      <c r="C126" s="93"/>
      <c r="D126" s="168">
        <v>0</v>
      </c>
      <c r="E126" s="168">
        <v>0</v>
      </c>
      <c r="F126" s="144">
        <f>AU168</f>
        <v>0</v>
      </c>
      <c r="G126" s="119">
        <f>AU169</f>
        <v>0</v>
      </c>
      <c r="H126" s="106">
        <f>AU170</f>
        <v>0</v>
      </c>
      <c r="I126" s="33"/>
      <c r="J126" s="33"/>
      <c r="K126" s="33"/>
      <c r="L126" s="33"/>
      <c r="M126" s="33"/>
      <c r="N126" s="33"/>
      <c r="O126" s="33"/>
      <c r="P126" s="33"/>
      <c r="Q126" s="33"/>
      <c r="R126" s="33"/>
      <c r="S126" s="33"/>
      <c r="T126" s="33"/>
      <c r="U126" s="33"/>
      <c r="V126" s="33"/>
      <c r="W126" s="33"/>
      <c r="X126" s="33"/>
      <c r="Y126" s="33"/>
      <c r="Z126" s="33"/>
      <c r="AA126" s="32"/>
      <c r="AB126" s="33"/>
      <c r="AC126" s="10"/>
      <c r="AD126" s="10"/>
      <c r="AE126" s="10"/>
      <c r="AF126" s="1"/>
      <c r="AU126" s="2">
        <f>IF(D104=0,E104/C4,D104)</f>
        <v>219</v>
      </c>
    </row>
    <row r="127" spans="1:47" ht="15.45" x14ac:dyDescent="0.4">
      <c r="A127" s="97" t="s">
        <v>79</v>
      </c>
      <c r="B127" s="93"/>
      <c r="C127" s="103"/>
      <c r="D127" s="168">
        <v>0</v>
      </c>
      <c r="E127" s="168">
        <v>0</v>
      </c>
      <c r="F127" s="144">
        <f>AU171</f>
        <v>0</v>
      </c>
      <c r="G127" s="119">
        <f>AU172</f>
        <v>0</v>
      </c>
      <c r="H127" s="106">
        <f>AU173</f>
        <v>0</v>
      </c>
      <c r="I127" s="35"/>
      <c r="J127" s="35"/>
      <c r="K127" s="35"/>
      <c r="L127" s="35"/>
      <c r="M127" s="35"/>
      <c r="N127" s="35"/>
      <c r="O127" s="35"/>
      <c r="P127" s="35"/>
      <c r="Q127" s="35"/>
      <c r="R127" s="35"/>
      <c r="S127" s="35"/>
      <c r="T127" s="35"/>
      <c r="U127" s="35"/>
      <c r="V127" s="35"/>
      <c r="W127" s="35"/>
      <c r="X127" s="35"/>
      <c r="Y127" s="35"/>
      <c r="Z127" s="35"/>
      <c r="AA127" s="32"/>
      <c r="AB127" s="33"/>
      <c r="AC127" s="10"/>
      <c r="AD127" s="10"/>
      <c r="AE127" s="10"/>
      <c r="AF127" s="1"/>
      <c r="AU127" s="2">
        <f>H104/H7</f>
        <v>2.2337821297429623</v>
      </c>
    </row>
    <row r="128" spans="1:47" ht="15.45" x14ac:dyDescent="0.4">
      <c r="A128" s="97" t="s">
        <v>81</v>
      </c>
      <c r="B128" s="93"/>
      <c r="C128" s="108"/>
      <c r="D128" s="169"/>
      <c r="E128" s="170"/>
      <c r="F128" s="144">
        <f>AU174</f>
        <v>598.53390417940875</v>
      </c>
      <c r="G128" s="119">
        <f>AU175</f>
        <v>6.1049969826541082</v>
      </c>
      <c r="H128" s="106">
        <f>AU176</f>
        <v>58716.175999999992</v>
      </c>
      <c r="I128" s="39"/>
      <c r="J128" s="39"/>
      <c r="K128" s="39"/>
      <c r="L128" s="39"/>
      <c r="M128" s="39"/>
      <c r="N128" s="39"/>
      <c r="O128" s="39"/>
      <c r="P128" s="39"/>
      <c r="Q128" s="39"/>
      <c r="R128" s="39"/>
      <c r="S128" s="39"/>
      <c r="T128" s="39"/>
      <c r="U128" s="39"/>
      <c r="V128" s="39"/>
      <c r="W128" s="39"/>
      <c r="X128" s="39"/>
      <c r="Y128" s="39"/>
      <c r="Z128" s="39"/>
      <c r="AA128" s="34"/>
      <c r="AB128" s="35"/>
      <c r="AC128" s="10"/>
      <c r="AD128" s="10"/>
      <c r="AE128" s="10"/>
      <c r="AF128" s="1"/>
      <c r="AU128" s="2">
        <f>F104*C4</f>
        <v>21483.899999999998</v>
      </c>
    </row>
    <row r="129" spans="1:47" ht="15.45" x14ac:dyDescent="0.4">
      <c r="A129" s="97" t="s">
        <v>83</v>
      </c>
      <c r="B129" s="93"/>
      <c r="C129" s="108"/>
      <c r="D129" s="171">
        <v>16</v>
      </c>
      <c r="E129" s="168"/>
      <c r="F129" s="144">
        <f>AU177</f>
        <v>16</v>
      </c>
      <c r="G129" s="119">
        <f>AU178</f>
        <v>0.16319869441044474</v>
      </c>
      <c r="H129" s="106">
        <f>AU179</f>
        <v>1569.6</v>
      </c>
      <c r="I129" s="39"/>
      <c r="J129" s="39"/>
      <c r="K129" s="39"/>
      <c r="L129" s="39"/>
      <c r="M129" s="39"/>
      <c r="N129" s="39"/>
      <c r="O129" s="39"/>
      <c r="P129" s="39"/>
      <c r="Q129" s="39"/>
      <c r="R129" s="39"/>
      <c r="S129" s="39"/>
      <c r="T129" s="39"/>
      <c r="U129" s="39"/>
      <c r="V129" s="39"/>
      <c r="W129" s="39"/>
      <c r="X129" s="39"/>
      <c r="Y129" s="39"/>
      <c r="Z129" s="39"/>
      <c r="AA129" s="38"/>
      <c r="AB129" s="39"/>
      <c r="AC129" s="10"/>
      <c r="AD129" s="1"/>
      <c r="AE129" s="7" t="s">
        <v>95</v>
      </c>
      <c r="AF129" s="1"/>
      <c r="AU129" s="240">
        <f>D105*C105</f>
        <v>0</v>
      </c>
    </row>
    <row r="130" spans="1:47" ht="15.45" x14ac:dyDescent="0.4">
      <c r="A130" s="97" t="s">
        <v>85</v>
      </c>
      <c r="B130" s="112"/>
      <c r="C130" s="108"/>
      <c r="D130" s="168">
        <v>207</v>
      </c>
      <c r="E130" s="168"/>
      <c r="F130" s="144">
        <f>AU180</f>
        <v>207</v>
      </c>
      <c r="G130" s="119">
        <f>AU181</f>
        <v>2.1113831089351285</v>
      </c>
      <c r="H130" s="106">
        <f>AU182</f>
        <v>20306.699999999997</v>
      </c>
      <c r="I130" s="33"/>
      <c r="J130" s="33"/>
      <c r="K130" s="33"/>
      <c r="L130" s="33"/>
      <c r="M130" s="33"/>
      <c r="N130" s="33"/>
      <c r="O130" s="33"/>
      <c r="P130" s="33"/>
      <c r="Q130" s="33"/>
      <c r="R130" s="33"/>
      <c r="S130" s="33"/>
      <c r="T130" s="33"/>
      <c r="U130" s="33"/>
      <c r="V130" s="33"/>
      <c r="W130" s="33"/>
      <c r="X130" s="33"/>
      <c r="Y130" s="33"/>
      <c r="Z130" s="33"/>
      <c r="AA130" s="38"/>
      <c r="AB130" s="39"/>
      <c r="AC130" s="10"/>
      <c r="AD130" s="1"/>
      <c r="AE130" s="7" t="s">
        <v>96</v>
      </c>
      <c r="AF130" s="1"/>
      <c r="AU130" s="2">
        <f>IF(D105=0,E105/C4,D105)</f>
        <v>257</v>
      </c>
    </row>
    <row r="131" spans="1:47" ht="15.45" x14ac:dyDescent="0.4">
      <c r="A131" s="97" t="s">
        <v>87</v>
      </c>
      <c r="B131" s="93"/>
      <c r="C131" s="108"/>
      <c r="D131" s="168">
        <v>0</v>
      </c>
      <c r="E131" s="168">
        <v>0</v>
      </c>
      <c r="F131" s="144">
        <f>AU183</f>
        <v>0</v>
      </c>
      <c r="G131" s="119">
        <f>AU184</f>
        <v>0</v>
      </c>
      <c r="H131" s="106">
        <f>AU185</f>
        <v>0</v>
      </c>
      <c r="I131" s="33"/>
      <c r="J131" s="33"/>
      <c r="K131" s="33"/>
      <c r="L131" s="33"/>
      <c r="M131" s="33"/>
      <c r="N131" s="33"/>
      <c r="O131" s="33"/>
      <c r="P131" s="33"/>
      <c r="Q131" s="33"/>
      <c r="R131" s="33"/>
      <c r="S131" s="33"/>
      <c r="T131" s="33"/>
      <c r="U131" s="33"/>
      <c r="V131" s="33"/>
      <c r="W131" s="33"/>
      <c r="X131" s="33"/>
      <c r="Y131" s="33"/>
      <c r="Z131" s="33"/>
      <c r="AA131" s="32"/>
      <c r="AB131" s="33"/>
      <c r="AC131" s="10"/>
      <c r="AD131" s="1"/>
      <c r="AE131" s="1"/>
      <c r="AF131" s="1"/>
      <c r="AU131" s="2">
        <f>H105/H7</f>
        <v>2.6213790289677683</v>
      </c>
    </row>
    <row r="132" spans="1:47" ht="15.45" x14ac:dyDescent="0.4">
      <c r="A132" s="97" t="s">
        <v>88</v>
      </c>
      <c r="B132" s="93"/>
      <c r="C132" s="108"/>
      <c r="D132" s="168">
        <v>0</v>
      </c>
      <c r="E132" s="168">
        <v>0</v>
      </c>
      <c r="F132" s="144">
        <f>AU187</f>
        <v>0</v>
      </c>
      <c r="G132" s="119">
        <f>AU188</f>
        <v>0</v>
      </c>
      <c r="H132" s="106">
        <f>AU189</f>
        <v>0</v>
      </c>
      <c r="I132" s="33"/>
      <c r="J132" s="33"/>
      <c r="K132" s="33"/>
      <c r="L132" s="33"/>
      <c r="M132" s="33"/>
      <c r="N132" s="33"/>
      <c r="O132" s="33"/>
      <c r="P132" s="33"/>
      <c r="Q132" s="33"/>
      <c r="R132" s="33"/>
      <c r="S132" s="33"/>
      <c r="T132" s="33"/>
      <c r="U132" s="33"/>
      <c r="V132" s="33"/>
      <c r="W132" s="33"/>
      <c r="X132" s="33"/>
      <c r="Y132" s="33"/>
      <c r="Z132" s="33"/>
      <c r="AA132" s="32"/>
      <c r="AB132" s="33"/>
      <c r="AC132" s="1"/>
      <c r="AD132" s="1"/>
      <c r="AE132" s="7" t="s">
        <v>97</v>
      </c>
      <c r="AF132" s="1"/>
      <c r="AU132" s="2">
        <f>F105*C4</f>
        <v>25211.699999999997</v>
      </c>
    </row>
    <row r="133" spans="1:47" ht="15.45" x14ac:dyDescent="0.4">
      <c r="A133" s="97" t="s">
        <v>89</v>
      </c>
      <c r="B133" s="103"/>
      <c r="C133" s="93"/>
      <c r="D133" s="168">
        <v>324</v>
      </c>
      <c r="E133" s="168"/>
      <c r="F133" s="144">
        <f>AU190</f>
        <v>324</v>
      </c>
      <c r="G133" s="119">
        <f>AU191</f>
        <v>3.3047735618115057</v>
      </c>
      <c r="H133" s="106">
        <f>AU192</f>
        <v>31784.399999999998</v>
      </c>
      <c r="I133" s="33"/>
      <c r="J133" s="33"/>
      <c r="K133" s="33"/>
      <c r="L133" s="33"/>
      <c r="M133" s="33"/>
      <c r="N133" s="33"/>
      <c r="O133" s="33"/>
      <c r="P133" s="33"/>
      <c r="Q133" s="33"/>
      <c r="R133" s="33"/>
      <c r="S133" s="33"/>
      <c r="T133" s="33"/>
      <c r="U133" s="33"/>
      <c r="V133" s="33"/>
      <c r="W133" s="33"/>
      <c r="X133" s="33"/>
      <c r="Y133" s="33"/>
      <c r="Z133" s="33"/>
      <c r="AA133" s="32"/>
      <c r="AB133" s="33"/>
      <c r="AC133" s="1"/>
      <c r="AD133" s="4"/>
      <c r="AE133" s="7" t="s">
        <v>98</v>
      </c>
      <c r="AF133" s="1"/>
      <c r="AU133" s="240">
        <f>D106*C106</f>
        <v>0</v>
      </c>
    </row>
    <row r="134" spans="1:47" ht="15.45" x14ac:dyDescent="0.4">
      <c r="A134" s="111"/>
      <c r="B134" s="93"/>
      <c r="C134" s="93"/>
      <c r="D134" s="93"/>
      <c r="E134" s="112"/>
      <c r="F134" s="112"/>
      <c r="G134" s="108"/>
      <c r="H134" s="107"/>
      <c r="I134" s="33"/>
      <c r="J134" s="33"/>
      <c r="K134" s="33"/>
      <c r="L134" s="33"/>
      <c r="M134" s="33"/>
      <c r="N134" s="33"/>
      <c r="O134" s="33"/>
      <c r="P134" s="33"/>
      <c r="Q134" s="33"/>
      <c r="R134" s="33"/>
      <c r="S134" s="33"/>
      <c r="T134" s="33"/>
      <c r="U134" s="33"/>
      <c r="V134" s="33"/>
      <c r="W134" s="33"/>
      <c r="X134" s="33"/>
      <c r="Y134" s="33"/>
      <c r="Z134" s="33"/>
      <c r="AA134" s="32"/>
      <c r="AB134" s="33"/>
      <c r="AC134" s="1"/>
      <c r="AD134" s="4"/>
      <c r="AE134" s="1"/>
      <c r="AF134" s="1"/>
      <c r="AU134" s="2">
        <f>IF(D106=0,E106/C4,D106)</f>
        <v>102</v>
      </c>
    </row>
    <row r="135" spans="1:47" ht="15.45" x14ac:dyDescent="0.4">
      <c r="A135" s="111"/>
      <c r="B135" s="93"/>
      <c r="C135" s="93"/>
      <c r="D135" s="105" t="s">
        <v>70</v>
      </c>
      <c r="E135" s="163" t="s">
        <v>91</v>
      </c>
      <c r="F135" s="119"/>
      <c r="G135" s="144"/>
      <c r="H135" s="120" t="s">
        <v>54</v>
      </c>
      <c r="I135" s="35"/>
      <c r="J135" s="35"/>
      <c r="K135" s="35"/>
      <c r="L135" s="35"/>
      <c r="M135" s="35"/>
      <c r="N135" s="35"/>
      <c r="O135" s="35"/>
      <c r="P135" s="35"/>
      <c r="Q135" s="35"/>
      <c r="R135" s="35"/>
      <c r="S135" s="35"/>
      <c r="T135" s="35"/>
      <c r="U135" s="35"/>
      <c r="V135" s="35"/>
      <c r="W135" s="35"/>
      <c r="X135" s="35"/>
      <c r="Y135" s="35"/>
      <c r="Z135" s="35"/>
      <c r="AA135" s="32"/>
      <c r="AB135" s="33"/>
      <c r="AC135" s="4"/>
      <c r="AD135" s="4"/>
      <c r="AE135" s="1"/>
      <c r="AF135" s="1"/>
      <c r="AU135" s="2">
        <f>H106/H7</f>
        <v>1.0403916768665851</v>
      </c>
    </row>
    <row r="136" spans="1:47" ht="15.45" x14ac:dyDescent="0.4">
      <c r="A136" s="111"/>
      <c r="B136" s="93"/>
      <c r="C136" s="93"/>
      <c r="D136" s="105" t="s">
        <v>92</v>
      </c>
      <c r="E136" s="163" t="s">
        <v>93</v>
      </c>
      <c r="F136" s="105" t="s">
        <v>55</v>
      </c>
      <c r="G136" s="105" t="s">
        <v>9</v>
      </c>
      <c r="H136" s="120" t="str">
        <f>AU193</f>
        <v xml:space="preserve">  98 Cows</v>
      </c>
      <c r="I136" s="35"/>
      <c r="J136" s="35"/>
      <c r="K136" s="35"/>
      <c r="L136" s="35"/>
      <c r="M136" s="35"/>
      <c r="N136" s="35"/>
      <c r="O136" s="35"/>
      <c r="P136" s="35"/>
      <c r="Q136" s="35"/>
      <c r="R136" s="35"/>
      <c r="S136" s="35"/>
      <c r="T136" s="35"/>
      <c r="U136" s="35"/>
      <c r="V136" s="35"/>
      <c r="W136" s="35"/>
      <c r="X136" s="35"/>
      <c r="Y136" s="35"/>
      <c r="Z136" s="35"/>
      <c r="AA136" s="34"/>
      <c r="AB136" s="35"/>
      <c r="AC136" s="4"/>
      <c r="AD136" s="4"/>
      <c r="AE136" s="5">
        <f>AU218</f>
        <v>22.276559372267027</v>
      </c>
      <c r="AF136" s="1"/>
      <c r="AU136" s="2">
        <f>F106*C4</f>
        <v>10006.199999999999</v>
      </c>
    </row>
    <row r="137" spans="1:47" ht="15.45" x14ac:dyDescent="0.4">
      <c r="A137" s="111"/>
      <c r="B137" s="93"/>
      <c r="C137" s="93"/>
      <c r="D137" s="105" t="s">
        <v>48</v>
      </c>
      <c r="E137" s="105" t="s">
        <v>48</v>
      </c>
      <c r="F137" s="105" t="s">
        <v>48</v>
      </c>
      <c r="G137" s="105" t="s">
        <v>72</v>
      </c>
      <c r="H137" s="120" t="s">
        <v>73</v>
      </c>
      <c r="I137" s="33"/>
      <c r="J137" s="33"/>
      <c r="K137" s="33"/>
      <c r="L137" s="33"/>
      <c r="M137" s="33"/>
      <c r="N137" s="33"/>
      <c r="O137" s="33"/>
      <c r="P137" s="33"/>
      <c r="Q137" s="33"/>
      <c r="R137" s="33"/>
      <c r="S137" s="33"/>
      <c r="T137" s="33"/>
      <c r="U137" s="33"/>
      <c r="V137" s="33"/>
      <c r="W137" s="33"/>
      <c r="X137" s="33"/>
      <c r="Y137" s="33"/>
      <c r="Z137" s="33"/>
      <c r="AA137" s="34"/>
      <c r="AB137" s="35"/>
      <c r="AC137" s="18"/>
      <c r="AD137" s="4"/>
      <c r="AE137" s="1"/>
      <c r="AF137" s="1"/>
      <c r="AU137" s="240">
        <f>D107*C107</f>
        <v>0</v>
      </c>
    </row>
    <row r="138" spans="1:47" ht="15.45" x14ac:dyDescent="0.4">
      <c r="A138" s="97" t="s">
        <v>94</v>
      </c>
      <c r="B138" s="93"/>
      <c r="C138" s="93"/>
      <c r="D138" s="131">
        <v>0</v>
      </c>
      <c r="E138" s="164">
        <f ca="1">AU194</f>
        <v>0</v>
      </c>
      <c r="F138" s="144">
        <f ca="1">AU195</f>
        <v>0</v>
      </c>
      <c r="G138" s="119">
        <f ca="1">AU196</f>
        <v>0</v>
      </c>
      <c r="H138" s="106">
        <f ca="1">AU197</f>
        <v>0</v>
      </c>
      <c r="I138" s="39"/>
      <c r="J138" s="39"/>
      <c r="K138" s="39"/>
      <c r="L138" s="39"/>
      <c r="M138" s="39"/>
      <c r="N138" s="39"/>
      <c r="O138" s="39"/>
      <c r="P138" s="39"/>
      <c r="Q138" s="39"/>
      <c r="R138" s="39"/>
      <c r="S138" s="39"/>
      <c r="T138" s="39"/>
      <c r="U138" s="39"/>
      <c r="V138" s="39"/>
      <c r="W138" s="39"/>
      <c r="X138" s="39"/>
      <c r="Y138" s="39"/>
      <c r="Z138" s="39"/>
      <c r="AA138" s="32"/>
      <c r="AB138" s="33"/>
      <c r="AC138" s="4"/>
      <c r="AD138" s="4"/>
      <c r="AE138" s="1"/>
      <c r="AF138" s="1"/>
      <c r="AU138" s="2">
        <f>IF(D107=0,E107/C4,D107)</f>
        <v>0</v>
      </c>
    </row>
    <row r="139" spans="1:47" ht="15.45" x14ac:dyDescent="0.4">
      <c r="A139" s="97" t="s">
        <v>212</v>
      </c>
      <c r="B139" s="93"/>
      <c r="C139" s="112"/>
      <c r="D139" s="131">
        <v>0</v>
      </c>
      <c r="E139" s="164">
        <f ca="1">AU198</f>
        <v>0</v>
      </c>
      <c r="F139" s="144">
        <f ca="1">AU199</f>
        <v>0</v>
      </c>
      <c r="G139" s="119">
        <f ca="1">AU200</f>
        <v>0</v>
      </c>
      <c r="H139" s="106">
        <f ca="1">AU201</f>
        <v>0</v>
      </c>
      <c r="I139" s="33"/>
      <c r="J139" s="33"/>
      <c r="K139" s="33"/>
      <c r="L139" s="33"/>
      <c r="M139" s="33"/>
      <c r="N139" s="33"/>
      <c r="O139" s="33"/>
      <c r="P139" s="33"/>
      <c r="Q139" s="33"/>
      <c r="R139" s="33"/>
      <c r="S139" s="33"/>
      <c r="T139" s="33"/>
      <c r="U139" s="33"/>
      <c r="V139" s="33"/>
      <c r="W139" s="33"/>
      <c r="X139" s="33"/>
      <c r="Y139" s="33"/>
      <c r="Z139" s="33"/>
      <c r="AA139" s="38"/>
      <c r="AB139" s="39"/>
      <c r="AC139" s="1"/>
      <c r="AD139" s="4"/>
      <c r="AE139" s="1"/>
      <c r="AF139" s="1"/>
      <c r="AU139" s="2">
        <f>H107/H7</f>
        <v>0</v>
      </c>
    </row>
    <row r="140" spans="1:47" ht="15.45" x14ac:dyDescent="0.4">
      <c r="A140" s="97" t="s">
        <v>211</v>
      </c>
      <c r="B140" s="93"/>
      <c r="C140" s="108"/>
      <c r="D140" s="131">
        <v>274</v>
      </c>
      <c r="E140" s="164">
        <f ca="1">AU202</f>
        <v>0</v>
      </c>
      <c r="F140" s="144">
        <f ca="1">AU203</f>
        <v>274</v>
      </c>
      <c r="G140" s="119">
        <f ca="1">AU204</f>
        <v>2.7947776417788659</v>
      </c>
      <c r="H140" s="106">
        <f ca="1">AU205</f>
        <v>26879.399999999998</v>
      </c>
      <c r="I140" s="35"/>
      <c r="J140" s="35"/>
      <c r="K140" s="35"/>
      <c r="L140" s="35"/>
      <c r="M140" s="35"/>
      <c r="N140" s="35"/>
      <c r="O140" s="35"/>
      <c r="P140" s="35"/>
      <c r="Q140" s="35"/>
      <c r="R140" s="35"/>
      <c r="S140" s="35"/>
      <c r="T140" s="35"/>
      <c r="U140" s="35"/>
      <c r="V140" s="35"/>
      <c r="W140" s="35"/>
      <c r="X140" s="35"/>
      <c r="Y140" s="35"/>
      <c r="Z140" s="35"/>
      <c r="AA140" s="32"/>
      <c r="AB140" s="33"/>
      <c r="AC140" s="4"/>
      <c r="AD140" s="4"/>
      <c r="AE140" s="1"/>
      <c r="AF140" s="1"/>
      <c r="AU140" s="2">
        <f>F107*C4</f>
        <v>0</v>
      </c>
    </row>
    <row r="141" spans="1:47" ht="15.45" x14ac:dyDescent="0.4">
      <c r="A141" s="97" t="s">
        <v>238</v>
      </c>
      <c r="B141" s="93"/>
      <c r="C141" s="108"/>
      <c r="D141" s="131">
        <v>0</v>
      </c>
      <c r="E141" s="164">
        <f ca="1">AU206</f>
        <v>0</v>
      </c>
      <c r="F141" s="144">
        <f ca="1">AU207</f>
        <v>0</v>
      </c>
      <c r="G141" s="119">
        <f ca="1">AU208</f>
        <v>0</v>
      </c>
      <c r="H141" s="106">
        <f ca="1">AU209</f>
        <v>0</v>
      </c>
      <c r="I141" s="39"/>
      <c r="J141" s="39"/>
      <c r="K141" s="39"/>
      <c r="L141" s="39"/>
      <c r="M141" s="39"/>
      <c r="N141" s="39"/>
      <c r="O141" s="39"/>
      <c r="P141" s="39"/>
      <c r="Q141" s="39"/>
      <c r="R141" s="39"/>
      <c r="S141" s="39"/>
      <c r="T141" s="39"/>
      <c r="U141" s="39"/>
      <c r="V141" s="39"/>
      <c r="W141" s="39"/>
      <c r="X141" s="39"/>
      <c r="Y141" s="39"/>
      <c r="Z141" s="39"/>
      <c r="AA141" s="34"/>
      <c r="AB141" s="35"/>
      <c r="AC141" s="4"/>
      <c r="AD141" s="1"/>
      <c r="AE141" s="1"/>
      <c r="AF141" s="1"/>
      <c r="AU141" s="240">
        <f>D108*C108</f>
        <v>0</v>
      </c>
    </row>
    <row r="142" spans="1:47" ht="15.45" x14ac:dyDescent="0.4">
      <c r="A142" s="97" t="s">
        <v>168</v>
      </c>
      <c r="B142" s="93"/>
      <c r="C142" s="103"/>
      <c r="D142" s="131">
        <v>163</v>
      </c>
      <c r="E142" s="164">
        <f ca="1">AU210</f>
        <v>0</v>
      </c>
      <c r="F142" s="144">
        <f ca="1">AU211</f>
        <v>163</v>
      </c>
      <c r="G142" s="119">
        <f ca="1">AU212</f>
        <v>1.6625866993064058</v>
      </c>
      <c r="H142" s="106">
        <f ca="1">AU213</f>
        <v>15990.3</v>
      </c>
      <c r="I142" s="39"/>
      <c r="J142" s="39"/>
      <c r="K142" s="39"/>
      <c r="L142" s="39"/>
      <c r="M142" s="39"/>
      <c r="N142" s="39"/>
      <c r="O142" s="39"/>
      <c r="P142" s="39"/>
      <c r="Q142" s="39"/>
      <c r="R142" s="39"/>
      <c r="S142" s="39"/>
      <c r="T142" s="39"/>
      <c r="U142" s="39"/>
      <c r="V142" s="39"/>
      <c r="W142" s="39"/>
      <c r="X142" s="39"/>
      <c r="Y142" s="39"/>
      <c r="Z142" s="39"/>
      <c r="AA142" s="38"/>
      <c r="AB142" s="39"/>
      <c r="AC142" s="4"/>
      <c r="AD142" s="15"/>
      <c r="AE142" s="1"/>
      <c r="AF142" s="1"/>
      <c r="AU142" s="2">
        <f>IF(D108=0,E108/C4,D108)</f>
        <v>55</v>
      </c>
    </row>
    <row r="143" spans="1:47" ht="15.45" x14ac:dyDescent="0.4">
      <c r="A143" s="111" t="s">
        <v>170</v>
      </c>
      <c r="B143" s="103"/>
      <c r="C143" s="126"/>
      <c r="D143" s="93"/>
      <c r="E143" s="159"/>
      <c r="F143" s="112"/>
      <c r="G143" s="108"/>
      <c r="H143" s="107"/>
      <c r="I143" s="33"/>
      <c r="J143" s="33"/>
      <c r="K143" s="33"/>
      <c r="L143" s="33"/>
      <c r="M143" s="33"/>
      <c r="N143" s="33"/>
      <c r="O143" s="33"/>
      <c r="P143" s="33"/>
      <c r="Q143" s="33"/>
      <c r="R143" s="33"/>
      <c r="S143" s="33"/>
      <c r="T143" s="33"/>
      <c r="U143" s="33"/>
      <c r="V143" s="33"/>
      <c r="W143" s="33"/>
      <c r="X143" s="33"/>
      <c r="Y143" s="33"/>
      <c r="Z143" s="33"/>
      <c r="AA143" s="38"/>
      <c r="AB143" s="39"/>
      <c r="AC143" s="4"/>
      <c r="AD143" s="1"/>
      <c r="AE143" s="1"/>
      <c r="AF143" s="1"/>
      <c r="AU143" s="2">
        <f>H108/H7</f>
        <v>0.56099551203590381</v>
      </c>
    </row>
    <row r="144" spans="1:47" ht="15.45" x14ac:dyDescent="0.4">
      <c r="A144" s="97" t="s">
        <v>99</v>
      </c>
      <c r="B144" s="103"/>
      <c r="C144" s="105" t="s">
        <v>100</v>
      </c>
      <c r="D144" s="94" t="s">
        <v>193</v>
      </c>
      <c r="E144" s="159"/>
      <c r="F144" s="112"/>
      <c r="G144" s="108"/>
      <c r="H144" s="107"/>
      <c r="I144" s="33"/>
      <c r="J144" s="33"/>
      <c r="K144" s="33"/>
      <c r="L144" s="33"/>
      <c r="M144" s="33"/>
      <c r="N144" s="33"/>
      <c r="O144" s="33"/>
      <c r="P144" s="33"/>
      <c r="Q144" s="33"/>
      <c r="R144" s="33"/>
      <c r="S144" s="33"/>
      <c r="T144" s="33"/>
      <c r="U144" s="33"/>
      <c r="V144" s="33"/>
      <c r="W144" s="33"/>
      <c r="X144" s="33"/>
      <c r="Y144" s="33"/>
      <c r="Z144" s="33"/>
      <c r="AA144" s="32"/>
      <c r="AB144" s="33"/>
      <c r="AC144" s="1"/>
      <c r="AD144" s="1"/>
      <c r="AE144" s="1"/>
      <c r="AF144" s="1"/>
      <c r="AU144" s="2">
        <f>F108*C4</f>
        <v>5395.5</v>
      </c>
    </row>
    <row r="145" spans="1:47" ht="15.45" x14ac:dyDescent="0.4">
      <c r="A145" s="97" t="s">
        <v>192</v>
      </c>
      <c r="B145" s="103"/>
      <c r="C145" s="172">
        <v>7.97</v>
      </c>
      <c r="D145" s="172">
        <v>25</v>
      </c>
      <c r="E145" s="164">
        <f ca="1">AU214</f>
        <v>0</v>
      </c>
      <c r="F145" s="144">
        <f ca="1">AU215</f>
        <v>112.89500509683997</v>
      </c>
      <c r="G145" s="119">
        <f ca="1">AU216</f>
        <v>1.1515198398290492</v>
      </c>
      <c r="H145" s="106">
        <f ca="1">AU217</f>
        <v>11075</v>
      </c>
      <c r="I145" s="33"/>
      <c r="J145" s="33"/>
      <c r="K145" s="33"/>
      <c r="L145" s="33"/>
      <c r="M145" s="33"/>
      <c r="N145" s="33"/>
      <c r="O145" s="33"/>
      <c r="P145" s="33"/>
      <c r="Q145" s="33"/>
      <c r="R145" s="33"/>
      <c r="S145" s="33"/>
      <c r="T145" s="33"/>
      <c r="U145" s="33"/>
      <c r="V145" s="33"/>
      <c r="W145" s="33"/>
      <c r="X145" s="33"/>
      <c r="Y145" s="33"/>
      <c r="Z145" s="33"/>
      <c r="AA145" s="32"/>
      <c r="AB145" s="33"/>
      <c r="AC145" s="15"/>
      <c r="AD145" s="1"/>
      <c r="AE145" s="1"/>
      <c r="AF145" s="1"/>
      <c r="AU145" s="17">
        <f ca="1">SUM(F87:F108)</f>
        <v>3584</v>
      </c>
    </row>
    <row r="146" spans="1:47" ht="15.45" x14ac:dyDescent="0.4">
      <c r="A146" s="111"/>
      <c r="B146" s="93"/>
      <c r="C146" s="93"/>
      <c r="D146" s="93"/>
      <c r="E146" s="159"/>
      <c r="F146" s="105" t="s">
        <v>101</v>
      </c>
      <c r="G146" s="105" t="s">
        <v>102</v>
      </c>
      <c r="H146" s="120" t="s">
        <v>48</v>
      </c>
      <c r="I146" s="33"/>
      <c r="J146" s="33"/>
      <c r="K146" s="33"/>
      <c r="L146" s="33"/>
      <c r="M146" s="33"/>
      <c r="N146" s="33"/>
      <c r="O146" s="33"/>
      <c r="P146" s="33"/>
      <c r="Q146" s="33"/>
      <c r="R146" s="33"/>
      <c r="S146" s="33"/>
      <c r="T146" s="33"/>
      <c r="U146" s="33"/>
      <c r="V146" s="33"/>
      <c r="W146" s="33"/>
      <c r="X146" s="33"/>
      <c r="Y146" s="33"/>
      <c r="Z146" s="33"/>
      <c r="AA146" s="32"/>
      <c r="AB146" s="33"/>
      <c r="AC146" s="1"/>
      <c r="AD146" s="1"/>
      <c r="AE146" s="1"/>
      <c r="AF146" s="1"/>
      <c r="AU146" s="2">
        <f ca="1">H110/H7</f>
        <v>36.556507547939631</v>
      </c>
    </row>
    <row r="147" spans="1:47" ht="15.45" x14ac:dyDescent="0.4">
      <c r="A147" s="97" t="s">
        <v>103</v>
      </c>
      <c r="B147" s="93"/>
      <c r="C147" s="93"/>
      <c r="D147" s="93"/>
      <c r="E147" s="159"/>
      <c r="F147" s="144">
        <f ca="1">AU219</f>
        <v>6377.4289092762501</v>
      </c>
      <c r="G147" s="119">
        <f ca="1">AU220</f>
        <v>65.049254480581908</v>
      </c>
      <c r="H147" s="106">
        <f ca="1">AU221</f>
        <v>625625.77600000007</v>
      </c>
      <c r="I147" s="39"/>
      <c r="J147" s="39"/>
      <c r="K147" s="39"/>
      <c r="L147" s="39"/>
      <c r="M147" s="39"/>
      <c r="N147" s="39"/>
      <c r="O147" s="39"/>
      <c r="P147" s="39"/>
      <c r="Q147" s="39"/>
      <c r="R147" s="39"/>
      <c r="S147" s="39"/>
      <c r="T147" s="39"/>
      <c r="U147" s="39"/>
      <c r="V147" s="39"/>
      <c r="W147" s="39"/>
      <c r="X147" s="39"/>
      <c r="Y147" s="39"/>
      <c r="Z147" s="39"/>
      <c r="AA147" s="32"/>
      <c r="AB147" s="33"/>
      <c r="AC147" s="1"/>
      <c r="AD147" s="1"/>
      <c r="AE147" s="1"/>
      <c r="AF147" s="1"/>
      <c r="AU147" s="3">
        <f ca="1">SUM(H87:H108)</f>
        <v>351590.40000000008</v>
      </c>
    </row>
    <row r="148" spans="1:47" ht="15.45" x14ac:dyDescent="0.4">
      <c r="A148" s="111"/>
      <c r="B148" s="93"/>
      <c r="C148" s="93"/>
      <c r="D148" s="93"/>
      <c r="E148" s="159"/>
      <c r="F148" s="112"/>
      <c r="G148" s="108"/>
      <c r="H148" s="107"/>
      <c r="I148" s="33"/>
      <c r="J148" s="33"/>
      <c r="K148" s="33"/>
      <c r="L148" s="33"/>
      <c r="M148" s="33"/>
      <c r="N148" s="33"/>
      <c r="O148" s="33"/>
      <c r="P148" s="33"/>
      <c r="Q148" s="33"/>
      <c r="R148" s="33"/>
      <c r="S148" s="33"/>
      <c r="T148" s="33"/>
      <c r="U148" s="33"/>
      <c r="V148" s="33"/>
      <c r="W148" s="33"/>
      <c r="X148" s="33"/>
      <c r="Y148" s="33"/>
      <c r="Z148" s="33"/>
      <c r="AA148" s="38"/>
      <c r="AB148" s="39"/>
      <c r="AC148" s="1"/>
      <c r="AD148" s="10"/>
      <c r="AE148" s="1"/>
      <c r="AF148" s="1"/>
      <c r="AU148" s="2" t="str">
        <f>" "&amp;FIXED(F80,0,TRUE)&amp;" Cows"</f>
        <v xml:space="preserve"> 98 Cows</v>
      </c>
    </row>
    <row r="149" spans="1:47" ht="15.45" x14ac:dyDescent="0.4">
      <c r="A149" s="111"/>
      <c r="B149" s="93"/>
      <c r="C149" s="103"/>
      <c r="D149" s="105" t="s">
        <v>70</v>
      </c>
      <c r="E149" s="163" t="s">
        <v>104</v>
      </c>
      <c r="F149" s="119"/>
      <c r="G149" s="144"/>
      <c r="H149" s="120" t="s">
        <v>54</v>
      </c>
      <c r="I149" s="35"/>
      <c r="J149" s="35"/>
      <c r="K149" s="35"/>
      <c r="L149" s="35"/>
      <c r="M149" s="35"/>
      <c r="N149" s="35"/>
      <c r="O149" s="35"/>
      <c r="P149" s="35"/>
      <c r="Q149" s="35"/>
      <c r="R149" s="35"/>
      <c r="S149" s="35"/>
      <c r="T149" s="35"/>
      <c r="U149" s="35"/>
      <c r="V149" s="35"/>
      <c r="W149" s="35"/>
      <c r="X149" s="35"/>
      <c r="Y149" s="35"/>
      <c r="Z149" s="35"/>
      <c r="AA149" s="32"/>
      <c r="AB149" s="33"/>
      <c r="AC149" s="1"/>
      <c r="AD149" s="10"/>
      <c r="AE149" s="1"/>
      <c r="AF149" s="1"/>
      <c r="AU149" s="2" t="str">
        <f>"  "&amp;FIXED(C4,0,TRUE)&amp;" Cows"</f>
        <v xml:space="preserve">  98 Cows</v>
      </c>
    </row>
    <row r="150" spans="1:47" ht="15.45" x14ac:dyDescent="0.4">
      <c r="A150" s="97" t="s">
        <v>105</v>
      </c>
      <c r="B150" s="93"/>
      <c r="C150" s="93"/>
      <c r="D150" s="105" t="s">
        <v>92</v>
      </c>
      <c r="E150" s="163" t="s">
        <v>93</v>
      </c>
      <c r="F150" s="105" t="s">
        <v>106</v>
      </c>
      <c r="G150" s="105" t="s">
        <v>9</v>
      </c>
      <c r="H150" s="120" t="str">
        <f>AU222</f>
        <v xml:space="preserve">  98 Cows</v>
      </c>
      <c r="I150" s="43"/>
      <c r="J150" s="43"/>
      <c r="K150" s="43"/>
      <c r="L150" s="43"/>
      <c r="M150" s="43"/>
      <c r="N150" s="43"/>
      <c r="O150" s="43"/>
      <c r="P150" s="43"/>
      <c r="Q150" s="43"/>
      <c r="R150" s="43"/>
      <c r="S150" s="43"/>
      <c r="T150" s="43"/>
      <c r="U150" s="43"/>
      <c r="V150" s="43"/>
      <c r="W150" s="43"/>
      <c r="X150" s="43"/>
      <c r="Y150" s="43"/>
      <c r="Z150" s="43"/>
      <c r="AA150" s="34"/>
      <c r="AB150" s="35"/>
      <c r="AC150" s="1"/>
      <c r="AD150" s="10"/>
      <c r="AE150" s="1"/>
      <c r="AF150" s="1"/>
      <c r="AU150" s="2">
        <f>IF(D120=0,E120/F80,D120)</f>
        <v>84</v>
      </c>
    </row>
    <row r="151" spans="1:47" ht="15.45" x14ac:dyDescent="0.4">
      <c r="A151" s="97" t="s">
        <v>107</v>
      </c>
      <c r="B151" s="93"/>
      <c r="C151" s="93"/>
      <c r="D151" s="131">
        <v>762</v>
      </c>
      <c r="E151" s="164">
        <f ca="1">AU223</f>
        <v>0</v>
      </c>
      <c r="F151" s="144">
        <f ca="1">AU224</f>
        <v>762</v>
      </c>
      <c r="G151" s="119">
        <f ca="1">AU225</f>
        <v>7.7723378212974303</v>
      </c>
      <c r="H151" s="106">
        <f ca="1">AU226</f>
        <v>74752.2</v>
      </c>
      <c r="I151" s="59"/>
      <c r="J151" s="59"/>
      <c r="K151" s="59"/>
      <c r="L151" s="59"/>
      <c r="M151" s="59"/>
      <c r="N151" s="59"/>
      <c r="O151" s="59"/>
      <c r="P151" s="59"/>
      <c r="Q151" s="59"/>
      <c r="R151" s="59"/>
      <c r="S151" s="59"/>
      <c r="T151" s="59"/>
      <c r="U151" s="59"/>
      <c r="V151" s="59"/>
      <c r="W151" s="59"/>
      <c r="X151" s="59"/>
      <c r="Y151" s="59"/>
      <c r="Z151" s="59"/>
      <c r="AA151" s="42"/>
      <c r="AB151" s="43"/>
      <c r="AC151" s="10"/>
      <c r="AD151" s="10"/>
      <c r="AE151" s="1"/>
      <c r="AF151" s="1"/>
      <c r="AU151" s="2">
        <f>H120/H7</f>
        <v>0.85679314565483489</v>
      </c>
    </row>
    <row r="152" spans="1:47" ht="15.45" x14ac:dyDescent="0.4">
      <c r="A152" s="97" t="s">
        <v>108</v>
      </c>
      <c r="B152" s="93"/>
      <c r="C152" s="93"/>
      <c r="D152" s="131">
        <v>861</v>
      </c>
      <c r="E152" s="164">
        <f ca="1">AU227</f>
        <v>0</v>
      </c>
      <c r="F152" s="144">
        <f ca="1">AU228</f>
        <v>861</v>
      </c>
      <c r="G152" s="119">
        <f ca="1">AU229</f>
        <v>8.7821297429620575</v>
      </c>
      <c r="H152" s="106">
        <f ca="1">AU230</f>
        <v>84464.099999999991</v>
      </c>
      <c r="I152" s="59"/>
      <c r="J152" s="59"/>
      <c r="K152" s="59"/>
      <c r="L152" s="59"/>
      <c r="M152" s="59"/>
      <c r="N152" s="59"/>
      <c r="O152" s="59"/>
      <c r="P152" s="59"/>
      <c r="Q152" s="59"/>
      <c r="R152" s="59"/>
      <c r="S152" s="59"/>
      <c r="T152" s="59"/>
      <c r="U152" s="59"/>
      <c r="V152" s="59"/>
      <c r="W152" s="59"/>
      <c r="X152" s="59"/>
      <c r="Y152" s="59"/>
      <c r="Z152" s="59"/>
      <c r="AA152" s="58"/>
      <c r="AB152" s="59"/>
      <c r="AC152" s="10"/>
      <c r="AD152" s="10"/>
      <c r="AE152" s="10"/>
      <c r="AF152" s="1"/>
      <c r="AU152" s="2">
        <f>F120*C4</f>
        <v>8240.4</v>
      </c>
    </row>
    <row r="153" spans="1:47" ht="15.45" x14ac:dyDescent="0.4">
      <c r="A153" s="97" t="s">
        <v>109</v>
      </c>
      <c r="B153" s="93"/>
      <c r="C153" s="108"/>
      <c r="D153" s="131">
        <v>0</v>
      </c>
      <c r="E153" s="164">
        <f ca="1">AU231</f>
        <v>0</v>
      </c>
      <c r="F153" s="144">
        <f ca="1">AU232</f>
        <v>0</v>
      </c>
      <c r="G153" s="119">
        <f ca="1">AU233</f>
        <v>0</v>
      </c>
      <c r="H153" s="106">
        <f ca="1">AU234</f>
        <v>0</v>
      </c>
      <c r="I153" s="59"/>
      <c r="J153" s="59"/>
      <c r="K153" s="59"/>
      <c r="L153" s="59"/>
      <c r="M153" s="59"/>
      <c r="N153" s="59"/>
      <c r="O153" s="59"/>
      <c r="P153" s="59"/>
      <c r="Q153" s="59"/>
      <c r="R153" s="59"/>
      <c r="S153" s="59"/>
      <c r="T153" s="59"/>
      <c r="U153" s="59"/>
      <c r="V153" s="59"/>
      <c r="W153" s="59"/>
      <c r="X153" s="59"/>
      <c r="Y153" s="59"/>
      <c r="Z153" s="59"/>
      <c r="AA153" s="58"/>
      <c r="AB153" s="59"/>
      <c r="AC153" s="10"/>
      <c r="AD153" s="1"/>
      <c r="AE153" s="10"/>
      <c r="AF153" s="1"/>
      <c r="AU153" s="2">
        <f>IF(D121=0,E121/F80,D121)</f>
        <v>0</v>
      </c>
    </row>
    <row r="154" spans="1:47" ht="15.45" x14ac:dyDescent="0.4">
      <c r="A154" s="97" t="s">
        <v>169</v>
      </c>
      <c r="B154" s="93"/>
      <c r="C154" s="108"/>
      <c r="D154" s="131">
        <f>148+103+107</f>
        <v>358</v>
      </c>
      <c r="E154" s="164">
        <f ca="1">AU235</f>
        <v>0</v>
      </c>
      <c r="F154" s="144">
        <f ca="1">AU236</f>
        <v>358</v>
      </c>
      <c r="G154" s="119">
        <f ca="1">AU237</f>
        <v>3.6515707874337009</v>
      </c>
      <c r="H154" s="106">
        <f ca="1">AU238</f>
        <v>35119.799999999996</v>
      </c>
      <c r="I154" s="35"/>
      <c r="J154" s="35"/>
      <c r="K154" s="35"/>
      <c r="L154" s="35"/>
      <c r="M154" s="35"/>
      <c r="N154" s="35"/>
      <c r="O154" s="35"/>
      <c r="P154" s="35"/>
      <c r="Q154" s="35"/>
      <c r="R154" s="35"/>
      <c r="S154" s="35"/>
      <c r="T154" s="35"/>
      <c r="U154" s="35"/>
      <c r="V154" s="35"/>
      <c r="W154" s="35"/>
      <c r="X154" s="35"/>
      <c r="Y154" s="35"/>
      <c r="Z154" s="35"/>
      <c r="AA154" s="58"/>
      <c r="AB154" s="59"/>
      <c r="AC154" s="10"/>
      <c r="AD154" s="1"/>
      <c r="AE154" s="10"/>
      <c r="AF154" s="1"/>
      <c r="AU154" s="2">
        <f>H121/H7</f>
        <v>0</v>
      </c>
    </row>
    <row r="155" spans="1:47" ht="15.45" x14ac:dyDescent="0.4">
      <c r="A155" s="111" t="s">
        <v>178</v>
      </c>
      <c r="B155" s="93"/>
      <c r="C155" s="108"/>
      <c r="D155" s="93"/>
      <c r="E155" s="93"/>
      <c r="F155" s="105" t="s">
        <v>101</v>
      </c>
      <c r="G155" s="105" t="s">
        <v>102</v>
      </c>
      <c r="H155" s="120" t="s">
        <v>48</v>
      </c>
      <c r="I155" s="59"/>
      <c r="J155" s="59"/>
      <c r="K155" s="59"/>
      <c r="L155" s="59"/>
      <c r="M155" s="59"/>
      <c r="N155" s="59"/>
      <c r="O155" s="59"/>
      <c r="P155" s="59"/>
      <c r="Q155" s="59"/>
      <c r="R155" s="59"/>
      <c r="S155" s="59"/>
      <c r="T155" s="59"/>
      <c r="U155" s="59"/>
      <c r="V155" s="59"/>
      <c r="W155" s="59"/>
      <c r="X155" s="59"/>
      <c r="Y155" s="59"/>
      <c r="Z155" s="59"/>
      <c r="AA155" s="34"/>
      <c r="AB155" s="35"/>
      <c r="AC155" s="10"/>
      <c r="AD155" s="1"/>
      <c r="AE155" s="10"/>
      <c r="AF155" s="1"/>
      <c r="AU155" s="2">
        <f>F121*C4</f>
        <v>0</v>
      </c>
    </row>
    <row r="156" spans="1:47" ht="15.45" x14ac:dyDescent="0.4">
      <c r="A156" s="97" t="s">
        <v>110</v>
      </c>
      <c r="B156" s="93"/>
      <c r="C156" s="103"/>
      <c r="D156" s="93"/>
      <c r="E156" s="93"/>
      <c r="F156" s="144">
        <f ca="1">AU239</f>
        <v>1980.9999999999998</v>
      </c>
      <c r="G156" s="119">
        <f ca="1">AU240</f>
        <v>20.206038351693188</v>
      </c>
      <c r="H156" s="106">
        <f ca="1">AU241</f>
        <v>194336.09999999998</v>
      </c>
      <c r="I156" s="59"/>
      <c r="J156" s="59"/>
      <c r="K156" s="59"/>
      <c r="L156" s="59"/>
      <c r="M156" s="59"/>
      <c r="N156" s="59"/>
      <c r="O156" s="59"/>
      <c r="P156" s="59"/>
      <c r="Q156" s="59"/>
      <c r="R156" s="59"/>
      <c r="S156" s="59"/>
      <c r="T156" s="59"/>
      <c r="U156" s="59"/>
      <c r="V156" s="59"/>
      <c r="W156" s="59"/>
      <c r="X156" s="59"/>
      <c r="Y156" s="59"/>
      <c r="Z156" s="59"/>
      <c r="AA156" s="58"/>
      <c r="AB156" s="59"/>
      <c r="AC156" s="1"/>
      <c r="AD156" s="10"/>
      <c r="AE156" s="10"/>
      <c r="AF156" s="1"/>
      <c r="AU156" s="2">
        <f>IF(D122=0,E122/F80,D122)</f>
        <v>0</v>
      </c>
    </row>
    <row r="157" spans="1:47" ht="15.45" x14ac:dyDescent="0.4">
      <c r="A157" s="111"/>
      <c r="B157" s="93"/>
      <c r="C157" s="108"/>
      <c r="D157" s="93"/>
      <c r="E157" s="112"/>
      <c r="F157" s="112"/>
      <c r="G157" s="108"/>
      <c r="H157" s="107"/>
      <c r="I157" s="35"/>
      <c r="J157" s="35"/>
      <c r="K157" s="35"/>
      <c r="L157" s="35"/>
      <c r="M157" s="35"/>
      <c r="N157" s="35"/>
      <c r="O157" s="35"/>
      <c r="P157" s="35"/>
      <c r="Q157" s="35"/>
      <c r="R157" s="35"/>
      <c r="S157" s="35"/>
      <c r="T157" s="35"/>
      <c r="U157" s="35"/>
      <c r="V157" s="35"/>
      <c r="W157" s="35"/>
      <c r="X157" s="35"/>
      <c r="Y157" s="35"/>
      <c r="Z157" s="35"/>
      <c r="AA157" s="58"/>
      <c r="AB157" s="59"/>
      <c r="AC157" s="1"/>
      <c r="AD157" s="10"/>
      <c r="AE157" s="1"/>
      <c r="AF157" s="1"/>
      <c r="AU157" s="2">
        <f>H122/H7</f>
        <v>0</v>
      </c>
    </row>
    <row r="158" spans="1:47" ht="15.45" x14ac:dyDescent="0.4">
      <c r="A158" s="128"/>
      <c r="B158" s="128"/>
      <c r="C158" s="128"/>
      <c r="D158" s="128"/>
      <c r="E158" s="128"/>
      <c r="F158" s="128"/>
      <c r="G158" s="128"/>
      <c r="H158" s="128"/>
      <c r="I158" s="59"/>
      <c r="J158" s="59"/>
      <c r="K158" s="59"/>
      <c r="L158" s="59"/>
      <c r="M158" s="59"/>
      <c r="N158" s="59"/>
      <c r="O158" s="59"/>
      <c r="P158" s="59"/>
      <c r="Q158" s="59"/>
      <c r="R158" s="59"/>
      <c r="S158" s="59"/>
      <c r="T158" s="59"/>
      <c r="U158" s="59"/>
      <c r="V158" s="59"/>
      <c r="W158" s="59"/>
      <c r="X158" s="59"/>
      <c r="Y158" s="59"/>
      <c r="Z158" s="59"/>
      <c r="AA158" s="34"/>
      <c r="AB158" s="35"/>
      <c r="AC158" s="1"/>
      <c r="AD158" s="10"/>
      <c r="AE158" s="1"/>
      <c r="AF158" s="1"/>
      <c r="AU158" s="2">
        <f>F122*C4</f>
        <v>0</v>
      </c>
    </row>
    <row r="159" spans="1:47" ht="15.45" x14ac:dyDescent="0.4">
      <c r="A159" s="97" t="s">
        <v>111</v>
      </c>
      <c r="B159" s="93"/>
      <c r="C159" s="93"/>
      <c r="D159" s="93"/>
      <c r="E159" s="105" t="s">
        <v>55</v>
      </c>
      <c r="F159" s="105" t="s">
        <v>9</v>
      </c>
      <c r="G159" s="105" t="s">
        <v>54</v>
      </c>
      <c r="H159" s="173" t="s">
        <v>112</v>
      </c>
      <c r="I159" s="59"/>
      <c r="J159" s="59"/>
      <c r="K159" s="59"/>
      <c r="L159" s="59"/>
      <c r="M159" s="59"/>
      <c r="N159" s="59"/>
      <c r="O159" s="59"/>
      <c r="P159" s="59"/>
      <c r="Q159" s="59"/>
      <c r="R159" s="59"/>
      <c r="S159" s="59"/>
      <c r="T159" s="59"/>
      <c r="U159" s="59"/>
      <c r="V159" s="59"/>
      <c r="W159" s="59"/>
      <c r="X159" s="59"/>
      <c r="Y159" s="59"/>
      <c r="Z159" s="59"/>
      <c r="AA159" s="58"/>
      <c r="AB159" s="59"/>
      <c r="AC159" s="10"/>
      <c r="AD159" s="10"/>
      <c r="AE159" s="1"/>
      <c r="AF159" s="1"/>
      <c r="AU159" s="2">
        <f>IF(D123=0,E123/F80,D123)</f>
        <v>656</v>
      </c>
    </row>
    <row r="160" spans="1:47" ht="15.45" x14ac:dyDescent="0.4">
      <c r="A160" s="97" t="s">
        <v>113</v>
      </c>
      <c r="B160" s="93"/>
      <c r="C160" s="93"/>
      <c r="D160" s="93"/>
      <c r="E160" s="144">
        <f>AU242</f>
        <v>9664.2435270132519</v>
      </c>
      <c r="F160" s="119">
        <f>AU243</f>
        <v>98.574495379572141</v>
      </c>
      <c r="G160" s="144">
        <f>AU244</f>
        <v>948062.28999999992</v>
      </c>
      <c r="H160" s="173" t="s">
        <v>114</v>
      </c>
      <c r="I160" s="39"/>
      <c r="J160" s="39"/>
      <c r="K160" s="39"/>
      <c r="L160" s="39"/>
      <c r="M160" s="39"/>
      <c r="N160" s="39"/>
      <c r="O160" s="39"/>
      <c r="P160" s="39"/>
      <c r="Q160" s="39"/>
      <c r="R160" s="39"/>
      <c r="S160" s="39"/>
      <c r="T160" s="39"/>
      <c r="U160" s="39"/>
      <c r="V160" s="39"/>
      <c r="W160" s="39"/>
      <c r="X160" s="39"/>
      <c r="Y160" s="39"/>
      <c r="Z160" s="39"/>
      <c r="AA160" s="58"/>
      <c r="AB160" s="59"/>
      <c r="AC160" s="10"/>
      <c r="AD160" s="10"/>
      <c r="AE160" s="10"/>
      <c r="AF160" s="1"/>
      <c r="AU160" s="2">
        <f>H123/H7</f>
        <v>6.691146470828234</v>
      </c>
    </row>
    <row r="161" spans="1:47" ht="15.45" x14ac:dyDescent="0.4">
      <c r="A161" s="97" t="s">
        <v>115</v>
      </c>
      <c r="B161" s="93"/>
      <c r="C161" s="93"/>
      <c r="D161" s="93"/>
      <c r="E161" s="144">
        <f ca="1">AU245</f>
        <v>6377.4289092762501</v>
      </c>
      <c r="F161" s="119">
        <f ca="1">AU246</f>
        <v>65.049254480581908</v>
      </c>
      <c r="G161" s="144">
        <f ca="1">AU247</f>
        <v>625625.77600000007</v>
      </c>
      <c r="H161" s="173" t="s">
        <v>116</v>
      </c>
      <c r="I161" s="61"/>
      <c r="J161" s="61"/>
      <c r="K161" s="61"/>
      <c r="L161" s="61"/>
      <c r="M161" s="61"/>
      <c r="N161" s="61"/>
      <c r="O161" s="61"/>
      <c r="P161" s="61"/>
      <c r="Q161" s="61"/>
      <c r="R161" s="61"/>
      <c r="S161" s="61"/>
      <c r="T161" s="61"/>
      <c r="U161" s="61"/>
      <c r="V161" s="61"/>
      <c r="W161" s="61"/>
      <c r="X161" s="61"/>
      <c r="Y161" s="61"/>
      <c r="Z161" s="61"/>
      <c r="AA161" s="38"/>
      <c r="AB161" s="39"/>
      <c r="AC161" s="19">
        <f ca="1">AU261</f>
        <v>1.0199918400652796E-2</v>
      </c>
      <c r="AD161" s="10"/>
      <c r="AE161" s="10"/>
      <c r="AF161" s="1"/>
      <c r="AU161" s="2">
        <f>F123*C4</f>
        <v>64353.599999999999</v>
      </c>
    </row>
    <row r="162" spans="1:47" ht="15.45" x14ac:dyDescent="0.4">
      <c r="A162" s="111"/>
      <c r="B162" s="93"/>
      <c r="C162" s="93"/>
      <c r="D162" s="93"/>
      <c r="E162" s="105" t="s">
        <v>48</v>
      </c>
      <c r="F162" s="105" t="s">
        <v>48</v>
      </c>
      <c r="G162" s="105" t="s">
        <v>48</v>
      </c>
      <c r="H162" s="107"/>
      <c r="I162" s="61"/>
      <c r="J162" s="61"/>
      <c r="K162" s="61"/>
      <c r="L162" s="61"/>
      <c r="M162" s="61"/>
      <c r="N162" s="61"/>
      <c r="O162" s="61"/>
      <c r="P162" s="61"/>
      <c r="Q162" s="61"/>
      <c r="R162" s="61"/>
      <c r="S162" s="61"/>
      <c r="T162" s="61"/>
      <c r="U162" s="61"/>
      <c r="V162" s="61"/>
      <c r="W162" s="61"/>
      <c r="X162" s="61"/>
      <c r="Y162" s="61"/>
      <c r="Z162" s="61"/>
      <c r="AA162" s="60"/>
      <c r="AB162" s="61"/>
      <c r="AC162" s="19">
        <f ca="1">AU264</f>
        <v>1305.8146177370018</v>
      </c>
      <c r="AD162" s="10"/>
      <c r="AE162" s="10"/>
      <c r="AF162" s="1"/>
      <c r="AU162" s="2">
        <f>IF(D124=0,E124/F80,D124)</f>
        <v>232</v>
      </c>
    </row>
    <row r="163" spans="1:47" ht="15.45" x14ac:dyDescent="0.4">
      <c r="A163" s="97" t="s">
        <v>117</v>
      </c>
      <c r="B163" s="93"/>
      <c r="C163" s="93"/>
      <c r="D163" s="93"/>
      <c r="E163" s="144">
        <f ca="1">AU248</f>
        <v>3286.8146177370018</v>
      </c>
      <c r="F163" s="119">
        <f ca="1">AU249</f>
        <v>33.525240898990226</v>
      </c>
      <c r="G163" s="144">
        <f ca="1">AU250</f>
        <v>322436.51399999985</v>
      </c>
      <c r="H163" s="173" t="s">
        <v>118</v>
      </c>
      <c r="I163" s="61"/>
      <c r="J163" s="61"/>
      <c r="K163" s="61"/>
      <c r="L163" s="61"/>
      <c r="M163" s="61"/>
      <c r="N163" s="61"/>
      <c r="O163" s="61"/>
      <c r="P163" s="61"/>
      <c r="Q163" s="61"/>
      <c r="R163" s="61"/>
      <c r="S163" s="61"/>
      <c r="T163" s="61"/>
      <c r="U163" s="61"/>
      <c r="V163" s="61"/>
      <c r="W163" s="61"/>
      <c r="X163" s="61"/>
      <c r="Y163" s="61"/>
      <c r="Z163" s="61"/>
      <c r="AA163" s="60"/>
      <c r="AB163" s="61"/>
      <c r="AC163" s="10"/>
      <c r="AD163" s="10"/>
      <c r="AE163" s="10"/>
      <c r="AF163" s="1"/>
      <c r="AU163" s="2">
        <f>H124/H7</f>
        <v>2.3663810689514486</v>
      </c>
    </row>
    <row r="164" spans="1:47" ht="15.45" x14ac:dyDescent="0.4">
      <c r="A164" s="97" t="s">
        <v>119</v>
      </c>
      <c r="B164" s="112"/>
      <c r="C164" s="93"/>
      <c r="D164" s="93"/>
      <c r="E164" s="144">
        <f ca="1">AU251</f>
        <v>1980.9999999999998</v>
      </c>
      <c r="F164" s="119">
        <f ca="1">AU252</f>
        <v>20.206038351693188</v>
      </c>
      <c r="G164" s="144">
        <f ca="1">AU253</f>
        <v>194336.09999999998</v>
      </c>
      <c r="H164" s="173" t="s">
        <v>120</v>
      </c>
      <c r="I164" s="61"/>
      <c r="J164" s="61"/>
      <c r="K164" s="61"/>
      <c r="L164" s="61"/>
      <c r="M164" s="61"/>
      <c r="N164" s="61"/>
      <c r="O164" s="61"/>
      <c r="P164" s="61"/>
      <c r="Q164" s="61"/>
      <c r="R164" s="61"/>
      <c r="S164" s="61"/>
      <c r="T164" s="61"/>
      <c r="U164" s="61"/>
      <c r="V164" s="61"/>
      <c r="W164" s="61"/>
      <c r="X164" s="61"/>
      <c r="Y164" s="61"/>
      <c r="Z164" s="61"/>
      <c r="AA164" s="60"/>
      <c r="AB164" s="61"/>
      <c r="AC164" s="19">
        <f>AU266</f>
        <v>8546658381.6650267</v>
      </c>
      <c r="AD164" s="10"/>
      <c r="AE164" s="10"/>
      <c r="AF164" s="1"/>
      <c r="AU164" s="2">
        <f>F124*C4</f>
        <v>22759.199999999997</v>
      </c>
    </row>
    <row r="165" spans="1:47" ht="15.45" x14ac:dyDescent="0.4">
      <c r="A165" s="111"/>
      <c r="B165" s="93"/>
      <c r="C165" s="93"/>
      <c r="D165" s="93"/>
      <c r="E165" s="105" t="s">
        <v>48</v>
      </c>
      <c r="F165" s="105" t="s">
        <v>48</v>
      </c>
      <c r="G165" s="105" t="s">
        <v>48</v>
      </c>
      <c r="H165" s="107"/>
      <c r="I165" s="63"/>
      <c r="J165" s="63"/>
      <c r="K165" s="63"/>
      <c r="L165" s="63"/>
      <c r="M165" s="63"/>
      <c r="N165" s="63"/>
      <c r="O165" s="63"/>
      <c r="P165" s="63"/>
      <c r="Q165" s="63"/>
      <c r="R165" s="63"/>
      <c r="S165" s="63"/>
      <c r="T165" s="63"/>
      <c r="U165" s="63"/>
      <c r="V165" s="63"/>
      <c r="W165" s="63"/>
      <c r="X165" s="63"/>
      <c r="Y165" s="63"/>
      <c r="Z165" s="63"/>
      <c r="AA165" s="60"/>
      <c r="AB165" s="61"/>
      <c r="AC165" s="19">
        <f>AU268</f>
        <v>58799400.232056044</v>
      </c>
      <c r="AD165" s="10"/>
      <c r="AE165" s="10"/>
      <c r="AF165" s="1"/>
      <c r="AU165" s="2">
        <f>IF(D125=0,E125/F80,D125)</f>
        <v>126</v>
      </c>
    </row>
    <row r="166" spans="1:47" ht="15.45" x14ac:dyDescent="0.4">
      <c r="A166" s="97" t="s">
        <v>121</v>
      </c>
      <c r="B166" s="93"/>
      <c r="C166" s="93"/>
      <c r="D166" s="239"/>
      <c r="E166" s="144">
        <f ca="1">AU254</f>
        <v>1305.8146177370018</v>
      </c>
      <c r="F166" s="119">
        <f ca="1">AU255</f>
        <v>13.319202547297042</v>
      </c>
      <c r="G166" s="144">
        <f ca="1">AU256</f>
        <v>128100.41399999987</v>
      </c>
      <c r="H166" s="173" t="s">
        <v>122</v>
      </c>
      <c r="I166" s="43"/>
      <c r="J166" s="43"/>
      <c r="K166" s="43"/>
      <c r="L166" s="43"/>
      <c r="M166" s="43"/>
      <c r="N166" s="43"/>
      <c r="O166" s="43"/>
      <c r="P166" s="43"/>
      <c r="Q166" s="43"/>
      <c r="R166" s="43"/>
      <c r="S166" s="43"/>
      <c r="T166" s="43"/>
      <c r="U166" s="43"/>
      <c r="V166" s="43"/>
      <c r="W166" s="43"/>
      <c r="X166" s="43"/>
      <c r="Y166" s="43"/>
      <c r="Z166" s="43"/>
      <c r="AA166" s="62"/>
      <c r="AB166" s="63"/>
      <c r="AC166" s="19">
        <f>AU270</f>
        <v>119678992.57898839</v>
      </c>
      <c r="AD166" s="10"/>
      <c r="AE166" s="10"/>
      <c r="AF166" s="1"/>
      <c r="AU166" s="2">
        <f>H125/H7</f>
        <v>1.2851897184822523</v>
      </c>
    </row>
    <row r="167" spans="1:47" ht="15.45" x14ac:dyDescent="0.4">
      <c r="A167" s="97" t="s">
        <v>59</v>
      </c>
      <c r="B167" s="103"/>
      <c r="C167" s="93"/>
      <c r="D167" s="93"/>
      <c r="E167" s="108"/>
      <c r="F167" s="93"/>
      <c r="G167" s="95"/>
      <c r="H167" s="173" t="s">
        <v>123</v>
      </c>
      <c r="I167" s="220"/>
      <c r="J167" s="59"/>
      <c r="K167" s="59"/>
      <c r="L167" s="59"/>
      <c r="M167" s="59"/>
      <c r="N167" s="59"/>
      <c r="O167" s="59"/>
      <c r="P167" s="59"/>
      <c r="Q167" s="59"/>
      <c r="R167" s="59"/>
      <c r="S167" s="59"/>
      <c r="T167" s="59"/>
      <c r="U167" s="59"/>
      <c r="V167" s="59"/>
      <c r="W167" s="59"/>
      <c r="X167" s="59"/>
      <c r="Y167" s="59"/>
      <c r="Z167" s="59"/>
      <c r="AA167" s="42"/>
      <c r="AB167" s="43"/>
      <c r="AC167" s="19">
        <f>AU272</f>
        <v>93408.440595462627</v>
      </c>
      <c r="AD167" s="19">
        <f ca="1">AU273</f>
        <v>0.3211745513441015</v>
      </c>
      <c r="AE167" s="10"/>
      <c r="AF167" s="1"/>
      <c r="AU167" s="2">
        <f>F125*C4</f>
        <v>12360.599999999999</v>
      </c>
    </row>
    <row r="168" spans="1:47" ht="15.45" x14ac:dyDescent="0.4">
      <c r="A168" s="97" t="s">
        <v>124</v>
      </c>
      <c r="B168" s="93"/>
      <c r="C168" s="93"/>
      <c r="D168" s="93"/>
      <c r="E168" s="112"/>
      <c r="F168" s="112"/>
      <c r="G168" s="105" t="s">
        <v>125</v>
      </c>
      <c r="H168" s="120" t="s">
        <v>3</v>
      </c>
      <c r="I168" s="220"/>
      <c r="J168" s="59"/>
      <c r="K168" s="59"/>
      <c r="L168" s="59"/>
      <c r="M168" s="59"/>
      <c r="N168" s="59"/>
      <c r="O168" s="59"/>
      <c r="P168" s="59"/>
      <c r="Q168" s="59"/>
      <c r="R168" s="59"/>
      <c r="S168" s="59"/>
      <c r="T168" s="59"/>
      <c r="U168" s="59"/>
      <c r="V168" s="59"/>
      <c r="W168" s="59"/>
      <c r="X168" s="59"/>
      <c r="Y168" s="59"/>
      <c r="Z168" s="59"/>
      <c r="AA168" s="58"/>
      <c r="AB168" s="59"/>
      <c r="AC168" s="19">
        <f>AU275</f>
        <v>952.17574511174962</v>
      </c>
      <c r="AD168" s="19">
        <f ca="1">AU276</f>
        <v>0.93075422787091955</v>
      </c>
      <c r="AE168" s="10"/>
      <c r="AF168" s="1"/>
      <c r="AU168" s="2">
        <f>IF(D126=0,E126/F80,D126)</f>
        <v>0</v>
      </c>
    </row>
    <row r="169" spans="1:47" ht="15.45" x14ac:dyDescent="0.4">
      <c r="A169" s="111"/>
      <c r="B169" s="94" t="s">
        <v>126</v>
      </c>
      <c r="C169" s="93"/>
      <c r="D169" s="93"/>
      <c r="E169" s="94" t="s">
        <v>127</v>
      </c>
      <c r="F169" s="112"/>
      <c r="G169" s="149">
        <f ca="1">AU257</f>
        <v>62.572007508620494</v>
      </c>
      <c r="H169" s="174">
        <f ca="1">AU258</f>
        <v>14.622474992472815</v>
      </c>
      <c r="I169" s="220"/>
      <c r="J169" s="65"/>
      <c r="K169" s="65"/>
      <c r="L169" s="65"/>
      <c r="M169" s="65"/>
      <c r="N169" s="65"/>
      <c r="O169" s="65"/>
      <c r="P169" s="65"/>
      <c r="Q169" s="65"/>
      <c r="R169" s="65"/>
      <c r="S169" s="65"/>
      <c r="T169" s="65"/>
      <c r="U169" s="65"/>
      <c r="V169" s="65"/>
      <c r="W169" s="65"/>
      <c r="X169" s="65"/>
      <c r="Y169" s="65"/>
      <c r="Z169" s="65"/>
      <c r="AA169" s="58"/>
      <c r="AB169" s="59"/>
      <c r="AC169" s="10"/>
      <c r="AD169" s="19">
        <f ca="1">AU277</f>
        <v>0.37888783107841989</v>
      </c>
      <c r="AE169" s="10"/>
      <c r="AF169" s="1"/>
      <c r="AU169" s="2">
        <f>H126/H7</f>
        <v>0</v>
      </c>
    </row>
    <row r="170" spans="1:47" ht="15.45" x14ac:dyDescent="0.4">
      <c r="A170" s="111"/>
      <c r="B170" s="108"/>
      <c r="C170" s="93"/>
      <c r="D170" s="93"/>
      <c r="E170" s="94" t="s">
        <v>128</v>
      </c>
      <c r="F170" s="112"/>
      <c r="G170" s="149">
        <f ca="1">AU259</f>
        <v>19.43653918184474</v>
      </c>
      <c r="H170" s="174">
        <f ca="1">AU260</f>
        <v>4.5421318484561537</v>
      </c>
      <c r="I170" s="59"/>
      <c r="J170" s="59"/>
      <c r="K170" s="59"/>
      <c r="L170" s="59"/>
      <c r="M170" s="59"/>
      <c r="N170" s="59"/>
      <c r="O170" s="59"/>
      <c r="P170" s="59"/>
      <c r="Q170" s="59"/>
      <c r="R170" s="59"/>
      <c r="S170" s="59"/>
      <c r="T170" s="59"/>
      <c r="U170" s="59"/>
      <c r="V170" s="59"/>
      <c r="W170" s="59"/>
      <c r="X170" s="59"/>
      <c r="Y170" s="59"/>
      <c r="Z170" s="59"/>
      <c r="AA170" s="64"/>
      <c r="AB170" s="65"/>
      <c r="AC170" s="19">
        <f ca="1">AU278</f>
        <v>1.3714008411165191</v>
      </c>
      <c r="AD170" s="19">
        <f ca="1">AU279</f>
        <v>0.37403912332020472</v>
      </c>
      <c r="AE170" s="10"/>
      <c r="AF170" s="1"/>
      <c r="AU170" s="2">
        <f>F126*C4</f>
        <v>0</v>
      </c>
    </row>
    <row r="171" spans="1:47" ht="15.45" x14ac:dyDescent="0.4">
      <c r="A171" s="111"/>
      <c r="B171" s="108"/>
      <c r="C171" s="93"/>
      <c r="D171" s="93"/>
      <c r="E171" s="93"/>
      <c r="F171" s="103"/>
      <c r="G171" s="105" t="s">
        <v>48</v>
      </c>
      <c r="H171" s="174" t="s">
        <v>48</v>
      </c>
      <c r="I171" s="59"/>
      <c r="J171" s="59"/>
      <c r="K171" s="59"/>
      <c r="L171" s="59"/>
      <c r="M171" s="59"/>
      <c r="N171" s="59"/>
      <c r="O171" s="59"/>
      <c r="P171" s="59"/>
      <c r="Q171" s="59"/>
      <c r="R171" s="59"/>
      <c r="S171" s="59"/>
      <c r="T171" s="59"/>
      <c r="U171" s="59"/>
      <c r="V171" s="59"/>
      <c r="W171" s="59"/>
      <c r="X171" s="59"/>
      <c r="Y171" s="59"/>
      <c r="Z171" s="59"/>
      <c r="AA171" s="58"/>
      <c r="AB171" s="59"/>
      <c r="AC171" s="19">
        <f ca="1">AU280</f>
        <v>0.75891311397899275</v>
      </c>
      <c r="AD171" s="1"/>
      <c r="AE171" s="10"/>
      <c r="AF171" s="1"/>
      <c r="AU171" s="2">
        <f>IF(D127=0,E127/F80,D127)</f>
        <v>0</v>
      </c>
    </row>
    <row r="172" spans="1:47" ht="15.45" x14ac:dyDescent="0.4">
      <c r="A172" s="111"/>
      <c r="B172" s="103"/>
      <c r="C172" s="103"/>
      <c r="D172" s="108"/>
      <c r="E172" s="94" t="s">
        <v>129</v>
      </c>
      <c r="F172" s="103"/>
      <c r="G172" s="149">
        <f ca="1">AU262</f>
        <v>82.008546690465238</v>
      </c>
      <c r="H172" s="174">
        <f ca="1">AU263</f>
        <v>19.164606840928968</v>
      </c>
      <c r="I172" s="59"/>
      <c r="J172" s="59"/>
      <c r="K172" s="59"/>
      <c r="L172" s="59"/>
      <c r="M172" s="59"/>
      <c r="N172" s="59"/>
      <c r="O172" s="59"/>
      <c r="P172" s="59"/>
      <c r="Q172" s="59"/>
      <c r="R172" s="59"/>
      <c r="S172" s="59"/>
      <c r="T172" s="59"/>
      <c r="U172" s="59"/>
      <c r="V172" s="59"/>
      <c r="W172" s="59"/>
      <c r="X172" s="59"/>
      <c r="Y172" s="59"/>
      <c r="Z172" s="59"/>
      <c r="AA172" s="58"/>
      <c r="AB172" s="59"/>
      <c r="AC172" s="19">
        <f ca="1">AU281</f>
        <v>0.15578028948289366</v>
      </c>
      <c r="AD172" s="1"/>
      <c r="AE172" s="10"/>
      <c r="AF172" s="1"/>
      <c r="AU172" s="2">
        <f>H127/H7</f>
        <v>0</v>
      </c>
    </row>
    <row r="173" spans="1:47" ht="15.45" x14ac:dyDescent="0.4">
      <c r="A173" s="111"/>
      <c r="B173" s="103"/>
      <c r="C173" s="93"/>
      <c r="D173" s="112"/>
      <c r="E173" s="93"/>
      <c r="F173" s="93"/>
      <c r="G173" s="175" t="s">
        <v>130</v>
      </c>
      <c r="H173" s="176">
        <f ca="1">AU265</f>
        <v>0</v>
      </c>
      <c r="I173" s="59"/>
      <c r="J173" s="59"/>
      <c r="K173" s="59"/>
      <c r="L173" s="59"/>
      <c r="M173" s="59"/>
      <c r="N173" s="59"/>
      <c r="O173" s="59"/>
      <c r="P173" s="59"/>
      <c r="Q173" s="59"/>
      <c r="R173" s="59"/>
      <c r="S173" s="59"/>
      <c r="T173" s="59"/>
      <c r="U173" s="59"/>
      <c r="V173" s="59"/>
      <c r="W173" s="59"/>
      <c r="X173" s="59"/>
      <c r="Y173" s="59"/>
      <c r="Z173" s="59"/>
      <c r="AA173" s="58"/>
      <c r="AB173" s="59"/>
      <c r="AC173" s="19">
        <f ca="1">AU284</f>
        <v>8.5125074885881225E-2</v>
      </c>
      <c r="AD173" s="1"/>
      <c r="AE173" s="10"/>
      <c r="AF173" s="1"/>
      <c r="AU173" s="2">
        <f>F127*C4</f>
        <v>0</v>
      </c>
    </row>
    <row r="174" spans="1:47" ht="15.45" x14ac:dyDescent="0.4">
      <c r="A174" s="128"/>
      <c r="B174" s="128"/>
      <c r="C174" s="128"/>
      <c r="D174" s="128"/>
      <c r="E174" s="128"/>
      <c r="F174" s="128"/>
      <c r="G174" s="128"/>
      <c r="H174" s="128"/>
      <c r="I174" s="59"/>
      <c r="J174" s="59"/>
      <c r="K174" s="59"/>
      <c r="L174" s="59"/>
      <c r="M174" s="59"/>
      <c r="N174" s="59"/>
      <c r="O174" s="59"/>
      <c r="P174" s="59"/>
      <c r="Q174" s="59"/>
      <c r="R174" s="59"/>
      <c r="S174" s="59"/>
      <c r="T174" s="59"/>
      <c r="U174" s="59"/>
      <c r="V174" s="59"/>
      <c r="W174" s="59"/>
      <c r="X174" s="59"/>
      <c r="Y174" s="59"/>
      <c r="Z174" s="59"/>
      <c r="AA174" s="58"/>
      <c r="AB174" s="59"/>
      <c r="AC174" s="1"/>
      <c r="AD174" s="1"/>
      <c r="AE174" s="10"/>
      <c r="AF174" s="1"/>
      <c r="AU174" s="2">
        <f>H128/C4</f>
        <v>598.53390417940875</v>
      </c>
    </row>
    <row r="175" spans="1:47" ht="15.45" x14ac:dyDescent="0.4">
      <c r="A175" s="111"/>
      <c r="B175" s="94" t="s">
        <v>131</v>
      </c>
      <c r="C175" s="103"/>
      <c r="D175" s="112"/>
      <c r="E175" s="103"/>
      <c r="F175" s="93"/>
      <c r="G175" s="177">
        <f ca="1">AU267</f>
        <v>0.91487492511411883</v>
      </c>
      <c r="H175" s="173" t="s">
        <v>132</v>
      </c>
      <c r="I175" s="65"/>
      <c r="J175" s="65"/>
      <c r="K175" s="65"/>
      <c r="L175" s="65"/>
      <c r="M175" s="65"/>
      <c r="N175" s="65"/>
      <c r="O175" s="65"/>
      <c r="P175" s="65"/>
      <c r="Q175" s="65"/>
      <c r="R175" s="65"/>
      <c r="S175" s="65"/>
      <c r="T175" s="65"/>
      <c r="U175" s="65"/>
      <c r="V175" s="65"/>
      <c r="W175" s="65"/>
      <c r="X175" s="65"/>
      <c r="Y175" s="65"/>
      <c r="Z175" s="65"/>
      <c r="AA175" s="58"/>
      <c r="AB175" s="59"/>
      <c r="AC175" s="1"/>
      <c r="AD175" s="1"/>
      <c r="AE175" s="1"/>
      <c r="AF175" s="1"/>
      <c r="AU175" s="2">
        <f>H128/H7</f>
        <v>6.1049969826541082</v>
      </c>
    </row>
    <row r="176" spans="1:47" ht="15.45" x14ac:dyDescent="0.4">
      <c r="A176" s="102"/>
      <c r="B176" s="94" t="s">
        <v>133</v>
      </c>
      <c r="C176" s="93"/>
      <c r="D176" s="98">
        <v>1000</v>
      </c>
      <c r="E176" s="94" t="s">
        <v>134</v>
      </c>
      <c r="F176" s="93"/>
      <c r="G176" s="177">
        <f ca="1">AU269</f>
        <v>0.62596087667979528</v>
      </c>
      <c r="H176" s="173" t="s">
        <v>135</v>
      </c>
      <c r="I176" s="59"/>
      <c r="J176" s="59"/>
      <c r="K176" s="59"/>
      <c r="L176" s="59"/>
      <c r="M176" s="59"/>
      <c r="N176" s="59"/>
      <c r="O176" s="59"/>
      <c r="P176" s="59"/>
      <c r="Q176" s="59"/>
      <c r="R176" s="59"/>
      <c r="S176" s="59"/>
      <c r="T176" s="59"/>
      <c r="U176" s="59"/>
      <c r="V176" s="59"/>
      <c r="W176" s="59"/>
      <c r="X176" s="59"/>
      <c r="Y176" s="59"/>
      <c r="Z176" s="59"/>
      <c r="AA176" s="64"/>
      <c r="AB176" s="65"/>
      <c r="AC176" s="1"/>
      <c r="AD176" s="1"/>
      <c r="AE176" s="1"/>
      <c r="AF176" s="1"/>
      <c r="AU176" s="11">
        <f>H62</f>
        <v>58716.175999999992</v>
      </c>
    </row>
    <row r="177" spans="1:47" ht="15.45" x14ac:dyDescent="0.4">
      <c r="A177" s="111"/>
      <c r="B177" s="93"/>
      <c r="C177" s="94" t="s">
        <v>136</v>
      </c>
      <c r="D177" s="119">
        <f ca="1">AU271</f>
        <v>10.199918400652797</v>
      </c>
      <c r="E177" s="94" t="s">
        <v>137</v>
      </c>
      <c r="F177" s="103"/>
      <c r="G177" s="93"/>
      <c r="H177" s="178"/>
      <c r="I177" s="59"/>
      <c r="J177" s="59"/>
      <c r="K177" s="59"/>
      <c r="L177" s="59"/>
      <c r="M177" s="59"/>
      <c r="N177" s="59"/>
      <c r="O177" s="59"/>
      <c r="P177" s="59"/>
      <c r="Q177" s="59"/>
      <c r="R177" s="59"/>
      <c r="S177" s="59"/>
      <c r="T177" s="59"/>
      <c r="U177" s="59"/>
      <c r="V177" s="59"/>
      <c r="W177" s="59"/>
      <c r="X177" s="59"/>
      <c r="Y177" s="59"/>
      <c r="Z177" s="59"/>
      <c r="AA177" s="58"/>
      <c r="AB177" s="59"/>
      <c r="AC177" s="1"/>
      <c r="AD177" s="1"/>
      <c r="AE177" s="1"/>
      <c r="AF177" s="1"/>
      <c r="AU177" s="2">
        <f>IF(D129=0,E129/F80,D129)</f>
        <v>16</v>
      </c>
    </row>
    <row r="178" spans="1:47" ht="15.45" x14ac:dyDescent="0.4">
      <c r="A178" s="111"/>
      <c r="B178" s="218" t="s">
        <v>213</v>
      </c>
      <c r="C178" s="93"/>
      <c r="D178" s="221" t="s">
        <v>217</v>
      </c>
      <c r="E178" s="93"/>
      <c r="F178" s="112"/>
      <c r="G178" s="138">
        <f>AU274</f>
        <v>9.8525636533294284E-2</v>
      </c>
      <c r="H178" s="219" t="str">
        <f>IF(G178&lt;=0.2499,"Low Risk",IF(AND(G178&gt;0.2499,G178&lt;0.4),"Moderate Risk","High Risk"))</f>
        <v>Low Risk</v>
      </c>
      <c r="I178" s="59"/>
      <c r="J178" s="59"/>
      <c r="K178" s="59"/>
      <c r="L178" s="59"/>
      <c r="M178" s="59"/>
      <c r="N178" s="59"/>
      <c r="O178" s="59"/>
      <c r="P178" s="59"/>
      <c r="Q178" s="59"/>
      <c r="R178" s="59"/>
      <c r="S178" s="59"/>
      <c r="T178" s="59"/>
      <c r="U178" s="59"/>
      <c r="V178" s="59"/>
      <c r="W178" s="59"/>
      <c r="X178" s="59"/>
      <c r="Y178" s="59"/>
      <c r="Z178" s="59"/>
      <c r="AA178" s="58"/>
      <c r="AB178" s="59"/>
      <c r="AC178" s="1"/>
      <c r="AD178" s="1"/>
      <c r="AE178" s="1"/>
      <c r="AF178" s="1"/>
      <c r="AU178" s="2">
        <f>H129/H7</f>
        <v>0.16319869441044474</v>
      </c>
    </row>
    <row r="179" spans="1:47" ht="15.45" x14ac:dyDescent="0.4">
      <c r="A179" s="111"/>
      <c r="B179" s="93"/>
      <c r="C179" s="103"/>
      <c r="D179" s="112"/>
      <c r="E179" s="93"/>
      <c r="F179" s="112"/>
      <c r="G179" s="108"/>
      <c r="H179" s="173" t="s">
        <v>138</v>
      </c>
      <c r="I179" s="59"/>
      <c r="J179" s="59"/>
      <c r="K179" s="59"/>
      <c r="L179" s="59"/>
      <c r="M179" s="59"/>
      <c r="N179" s="59"/>
      <c r="O179" s="59"/>
      <c r="P179" s="59"/>
      <c r="Q179" s="59"/>
      <c r="R179" s="59"/>
      <c r="S179" s="59"/>
      <c r="T179" s="59"/>
      <c r="U179" s="59"/>
      <c r="V179" s="59"/>
      <c r="W179" s="59"/>
      <c r="X179" s="59"/>
      <c r="Y179" s="59"/>
      <c r="Z179" s="59"/>
      <c r="AA179" s="58"/>
      <c r="AB179" s="59"/>
      <c r="AC179" s="1"/>
      <c r="AD179" s="1"/>
      <c r="AE179" s="1"/>
      <c r="AF179" s="1"/>
      <c r="AU179" s="2">
        <f>F129*C4</f>
        <v>1569.6</v>
      </c>
    </row>
    <row r="180" spans="1:47" ht="15.45" x14ac:dyDescent="0.4">
      <c r="A180" s="111"/>
      <c r="B180" s="105" t="s">
        <v>139</v>
      </c>
      <c r="C180" s="99"/>
      <c r="D180" s="99"/>
      <c r="E180" s="105" t="s">
        <v>140</v>
      </c>
      <c r="F180" s="112"/>
      <c r="G180" s="108"/>
      <c r="H180" s="173" t="s">
        <v>141</v>
      </c>
      <c r="I180" s="35"/>
      <c r="J180" s="35"/>
      <c r="K180" s="35"/>
      <c r="L180" s="35"/>
      <c r="M180" s="35"/>
      <c r="N180" s="35"/>
      <c r="O180" s="35"/>
      <c r="P180" s="35"/>
      <c r="Q180" s="35"/>
      <c r="R180" s="35"/>
      <c r="S180" s="35"/>
      <c r="T180" s="35"/>
      <c r="U180" s="35"/>
      <c r="V180" s="35"/>
      <c r="W180" s="35"/>
      <c r="X180" s="35"/>
      <c r="Y180" s="35"/>
      <c r="Z180" s="35"/>
      <c r="AA180" s="58"/>
      <c r="AB180" s="59"/>
      <c r="AC180" s="1"/>
      <c r="AD180" s="1"/>
      <c r="AE180" s="1"/>
      <c r="AF180" s="1"/>
      <c r="AU180" s="2">
        <f>IF(D130=0,E130/F80,D130)</f>
        <v>207</v>
      </c>
    </row>
    <row r="181" spans="1:47" ht="15.45" x14ac:dyDescent="0.4">
      <c r="A181" s="111"/>
      <c r="B181" s="105" t="s">
        <v>9</v>
      </c>
      <c r="C181" s="105" t="s">
        <v>142</v>
      </c>
      <c r="D181" s="99"/>
      <c r="E181" s="105" t="s">
        <v>143</v>
      </c>
      <c r="F181" s="93"/>
      <c r="G181" s="93"/>
      <c r="H181" s="173" t="s">
        <v>144</v>
      </c>
      <c r="I181" s="35"/>
      <c r="J181" s="35"/>
      <c r="K181" s="35"/>
      <c r="L181" s="35"/>
      <c r="M181" s="35"/>
      <c r="N181" s="35"/>
      <c r="O181" s="35"/>
      <c r="P181" s="35"/>
      <c r="Q181" s="35"/>
      <c r="R181" s="35"/>
      <c r="S181" s="35"/>
      <c r="T181" s="35"/>
      <c r="U181" s="35"/>
      <c r="V181" s="35"/>
      <c r="W181" s="35"/>
      <c r="X181" s="35"/>
      <c r="Y181" s="35"/>
      <c r="Z181" s="35"/>
      <c r="AA181" s="34"/>
      <c r="AB181" s="35"/>
      <c r="AC181" s="1"/>
      <c r="AD181" s="1"/>
      <c r="AE181" s="1"/>
      <c r="AF181" s="1"/>
      <c r="AU181" s="2">
        <f>H130/H7</f>
        <v>2.1113831089351285</v>
      </c>
    </row>
    <row r="182" spans="1:47" ht="15.45" x14ac:dyDescent="0.4">
      <c r="A182" s="111"/>
      <c r="B182" s="119"/>
      <c r="C182" s="144"/>
      <c r="D182" s="99"/>
      <c r="E182" s="99"/>
      <c r="F182" s="93"/>
      <c r="G182" s="93"/>
      <c r="H182" s="173" t="s">
        <v>145</v>
      </c>
      <c r="I182" s="47"/>
      <c r="J182" s="47"/>
      <c r="K182" s="47"/>
      <c r="L182" s="47"/>
      <c r="M182" s="47"/>
      <c r="N182" s="47"/>
      <c r="O182" s="47"/>
      <c r="P182" s="47"/>
      <c r="Q182" s="47"/>
      <c r="R182" s="47"/>
      <c r="S182" s="47"/>
      <c r="T182" s="47"/>
      <c r="U182" s="47"/>
      <c r="V182" s="47"/>
      <c r="W182" s="47"/>
      <c r="X182" s="47"/>
      <c r="Y182" s="47"/>
      <c r="Z182" s="47"/>
      <c r="AA182" s="34"/>
      <c r="AB182" s="35"/>
      <c r="AC182" s="1"/>
      <c r="AD182" s="1"/>
      <c r="AE182" s="1"/>
      <c r="AF182" s="1"/>
      <c r="AU182" s="2">
        <f>F130*C4</f>
        <v>20306.699999999997</v>
      </c>
    </row>
    <row r="183" spans="1:47" ht="15.45" x14ac:dyDescent="0.4">
      <c r="A183" s="111"/>
      <c r="B183" s="119">
        <f ca="1">AU282</f>
        <v>22.739954003421044</v>
      </c>
      <c r="C183" s="144">
        <f ca="1">AU283</f>
        <v>2229.4250904953988</v>
      </c>
      <c r="D183" s="99"/>
      <c r="E183" s="105" t="s">
        <v>146</v>
      </c>
      <c r="F183" s="93"/>
      <c r="G183" s="93"/>
      <c r="H183" s="178"/>
      <c r="I183" s="29"/>
      <c r="J183" s="29"/>
      <c r="K183" s="29"/>
      <c r="L183" s="29"/>
      <c r="M183" s="29"/>
      <c r="N183" s="29"/>
      <c r="O183" s="29"/>
      <c r="P183" s="29"/>
      <c r="Q183" s="29"/>
      <c r="R183" s="29"/>
      <c r="S183" s="29"/>
      <c r="T183" s="29"/>
      <c r="U183" s="29"/>
      <c r="V183" s="29"/>
      <c r="W183" s="29"/>
      <c r="X183" s="29"/>
      <c r="Y183" s="29"/>
      <c r="Z183" s="29"/>
      <c r="AA183" s="46"/>
      <c r="AB183" s="47"/>
      <c r="AC183" s="1"/>
      <c r="AD183" s="1"/>
      <c r="AE183" s="1"/>
      <c r="AF183" s="1"/>
      <c r="AU183" s="2">
        <f>IF(D131=0,E131/F80,D131)</f>
        <v>0</v>
      </c>
    </row>
    <row r="184" spans="1:47" ht="15.45" x14ac:dyDescent="0.4">
      <c r="A184" s="111"/>
      <c r="B184" s="119">
        <f ca="1">AU285</f>
        <v>17.495411955681909</v>
      </c>
      <c r="C184" s="144">
        <f ca="1">AU286</f>
        <v>1715.250188135054</v>
      </c>
      <c r="D184" s="99"/>
      <c r="E184" s="105" t="s">
        <v>147</v>
      </c>
      <c r="F184" s="112"/>
      <c r="G184" s="108"/>
      <c r="H184" s="173" t="s">
        <v>148</v>
      </c>
      <c r="I184" s="35"/>
      <c r="J184" s="35"/>
      <c r="K184" s="35"/>
      <c r="L184" s="35"/>
      <c r="M184" s="35"/>
      <c r="N184" s="35"/>
      <c r="O184" s="35"/>
      <c r="P184" s="35"/>
      <c r="Q184" s="35"/>
      <c r="R184" s="35"/>
      <c r="S184" s="35"/>
      <c r="T184" s="35"/>
      <c r="U184" s="35"/>
      <c r="V184" s="35"/>
      <c r="W184" s="35"/>
      <c r="X184" s="35"/>
      <c r="Y184" s="35"/>
      <c r="Z184" s="35"/>
      <c r="AA184" s="28"/>
      <c r="AB184" s="29"/>
      <c r="AC184" s="1"/>
      <c r="AD184" s="1"/>
      <c r="AE184" s="1"/>
      <c r="AF184" s="1"/>
      <c r="AU184" s="2">
        <f>H131/H7</f>
        <v>0</v>
      </c>
    </row>
    <row r="185" spans="1:47" ht="15.45" x14ac:dyDescent="0.4">
      <c r="A185" s="111"/>
      <c r="B185" s="119">
        <f ca="1">AU287</f>
        <v>13.319202547297042</v>
      </c>
      <c r="C185" s="144">
        <f ca="1">AU288</f>
        <v>1305.8146177370018</v>
      </c>
      <c r="D185" s="99"/>
      <c r="E185" s="105" t="s">
        <v>149</v>
      </c>
      <c r="F185" s="112"/>
      <c r="G185" s="108"/>
      <c r="H185" s="173" t="s">
        <v>150</v>
      </c>
      <c r="I185" s="29"/>
      <c r="J185" s="29"/>
      <c r="K185" s="29"/>
      <c r="L185" s="29"/>
      <c r="M185" s="29"/>
      <c r="N185" s="29"/>
      <c r="O185" s="29"/>
      <c r="P185" s="29"/>
      <c r="Q185" s="29"/>
      <c r="R185" s="29"/>
      <c r="S185" s="29"/>
      <c r="T185" s="29"/>
      <c r="U185" s="29"/>
      <c r="V185" s="29"/>
      <c r="W185" s="29"/>
      <c r="X185" s="29"/>
      <c r="Y185" s="29"/>
      <c r="Z185" s="29"/>
      <c r="AA185" s="34"/>
      <c r="AB185" s="35"/>
      <c r="AC185" s="1"/>
      <c r="AD185" s="1"/>
      <c r="AE185" s="1"/>
      <c r="AF185" s="1"/>
      <c r="AU185" s="2">
        <f>F131*C4</f>
        <v>0</v>
      </c>
    </row>
    <row r="186" spans="1:47" ht="15.45" x14ac:dyDescent="0.4">
      <c r="A186" s="111"/>
      <c r="B186" s="119">
        <f ca="1">AU289</f>
        <v>9.1429931389121748</v>
      </c>
      <c r="C186" s="144">
        <f ca="1">AU290</f>
        <v>896.37904733894948</v>
      </c>
      <c r="D186" s="99"/>
      <c r="E186" s="105" t="s">
        <v>151</v>
      </c>
      <c r="F186" s="112"/>
      <c r="G186" s="108"/>
      <c r="H186" s="173" t="s">
        <v>152</v>
      </c>
      <c r="I186" s="67"/>
      <c r="J186" s="67"/>
      <c r="K186" s="67"/>
      <c r="L186" s="67"/>
      <c r="M186" s="67"/>
      <c r="N186" s="67"/>
      <c r="O186" s="67"/>
      <c r="P186" s="67"/>
      <c r="Q186" s="67"/>
      <c r="R186" s="67"/>
      <c r="S186" s="67"/>
      <c r="T186" s="67"/>
      <c r="U186" s="67"/>
      <c r="V186" s="67"/>
      <c r="W186" s="67"/>
      <c r="X186" s="67"/>
      <c r="Y186" s="67"/>
      <c r="Z186" s="67"/>
      <c r="AA186" s="28"/>
      <c r="AB186" s="29"/>
      <c r="AC186" s="1"/>
      <c r="AD186" s="1"/>
      <c r="AE186" s="1"/>
      <c r="AF186" s="1"/>
      <c r="AU186" s="2">
        <f ca="1">ROUND(+C145*D145*0.0001*(SUM(H110:H142)-H128),0)</f>
        <v>11075</v>
      </c>
    </row>
    <row r="187" spans="1:47" ht="15.45" x14ac:dyDescent="0.4">
      <c r="A187" s="111"/>
      <c r="B187" s="119">
        <f ca="1">AU291</f>
        <v>3.8984510911730386</v>
      </c>
      <c r="C187" s="144">
        <f ca="1">AU292</f>
        <v>382.20414497860463</v>
      </c>
      <c r="D187" s="99"/>
      <c r="E187" s="105" t="s">
        <v>153</v>
      </c>
      <c r="F187" s="112"/>
      <c r="G187" s="108"/>
      <c r="H187" s="173" t="s">
        <v>154</v>
      </c>
      <c r="I187" s="35"/>
      <c r="J187" s="35"/>
      <c r="K187" s="35"/>
      <c r="L187" s="35"/>
      <c r="M187" s="35"/>
      <c r="N187" s="35"/>
      <c r="O187" s="35"/>
      <c r="P187" s="35"/>
      <c r="Q187" s="35"/>
      <c r="R187" s="35"/>
      <c r="S187" s="35"/>
      <c r="T187" s="35"/>
      <c r="U187" s="35"/>
      <c r="V187" s="35"/>
      <c r="W187" s="35"/>
      <c r="X187" s="35"/>
      <c r="Y187" s="35"/>
      <c r="Z187" s="35"/>
      <c r="AA187" s="66"/>
      <c r="AB187" s="67"/>
      <c r="AC187" s="1"/>
      <c r="AD187" s="1"/>
      <c r="AE187" s="1"/>
      <c r="AF187" s="1"/>
      <c r="AU187" s="2">
        <f>IF(D132=0,E132/F80,D132)</f>
        <v>0</v>
      </c>
    </row>
    <row r="188" spans="1:47" ht="18.75" customHeight="1" x14ac:dyDescent="0.4">
      <c r="A188" s="183"/>
      <c r="B188" s="222"/>
      <c r="C188" s="222"/>
      <c r="D188" s="222"/>
      <c r="E188" s="222"/>
      <c r="F188" s="223"/>
      <c r="G188" s="224"/>
      <c r="H188" s="225"/>
      <c r="I188" s="27"/>
      <c r="J188" s="27"/>
      <c r="K188" s="27"/>
      <c r="L188" s="27"/>
      <c r="M188" s="27"/>
      <c r="N188" s="27"/>
      <c r="O188" s="27"/>
      <c r="P188" s="27"/>
      <c r="Q188" s="27"/>
      <c r="R188" s="27"/>
      <c r="S188" s="27"/>
      <c r="T188" s="27"/>
      <c r="U188" s="27"/>
      <c r="V188" s="27"/>
      <c r="W188" s="27"/>
      <c r="X188" s="27"/>
      <c r="Y188" s="27"/>
      <c r="Z188" s="27"/>
      <c r="AA188" s="34"/>
      <c r="AB188" s="35"/>
      <c r="AC188" s="1"/>
      <c r="AD188" s="1"/>
      <c r="AE188" s="1"/>
      <c r="AF188" s="1"/>
      <c r="AU188" s="2">
        <f>H132/H7</f>
        <v>0</v>
      </c>
    </row>
    <row r="189" spans="1:47" ht="15.45" hidden="1" x14ac:dyDescent="0.4">
      <c r="A189" s="111"/>
      <c r="B189" s="93"/>
      <c r="C189" s="94" t="s">
        <v>155</v>
      </c>
      <c r="D189" s="93"/>
      <c r="E189" s="108"/>
      <c r="F189" s="112"/>
      <c r="G189" s="108"/>
      <c r="H189" s="107"/>
      <c r="I189" s="69"/>
      <c r="J189" s="69"/>
      <c r="K189" s="69"/>
      <c r="L189" s="69"/>
      <c r="M189" s="69"/>
      <c r="N189" s="69"/>
      <c r="O189" s="69"/>
      <c r="P189" s="69"/>
      <c r="Q189" s="69"/>
      <c r="R189" s="69"/>
      <c r="S189" s="69"/>
      <c r="T189" s="69"/>
      <c r="U189" s="69"/>
      <c r="V189" s="69"/>
      <c r="W189" s="69"/>
      <c r="X189" s="69"/>
      <c r="Y189" s="69"/>
      <c r="Z189" s="69"/>
      <c r="AA189" s="26"/>
      <c r="AB189" s="27"/>
      <c r="AC189" s="1"/>
      <c r="AD189" s="1"/>
      <c r="AE189" s="1"/>
      <c r="AF189" s="1"/>
      <c r="AU189" s="2">
        <f>F132*C4</f>
        <v>0</v>
      </c>
    </row>
    <row r="190" spans="1:47" ht="15.45" hidden="1" x14ac:dyDescent="0.4">
      <c r="A190" s="97" t="s">
        <v>156</v>
      </c>
      <c r="B190" s="93"/>
      <c r="C190" s="93"/>
      <c r="D190" s="179">
        <v>0.04</v>
      </c>
      <c r="E190" s="108"/>
      <c r="F190" s="94" t="s">
        <v>157</v>
      </c>
      <c r="G190" s="108"/>
      <c r="H190" s="98">
        <v>1850</v>
      </c>
      <c r="I190" s="59"/>
      <c r="J190" s="59"/>
      <c r="K190" s="59"/>
      <c r="L190" s="59"/>
      <c r="M190" s="59"/>
      <c r="N190" s="59"/>
      <c r="O190" s="59"/>
      <c r="P190" s="59"/>
      <c r="Q190" s="59"/>
      <c r="R190" s="59"/>
      <c r="S190" s="59"/>
      <c r="T190" s="59"/>
      <c r="U190" s="59"/>
      <c r="V190" s="59"/>
      <c r="W190" s="59"/>
      <c r="X190" s="59"/>
      <c r="Y190" s="59"/>
      <c r="Z190" s="59"/>
      <c r="AA190" s="68"/>
      <c r="AB190" s="69"/>
      <c r="AC190" s="1"/>
      <c r="AD190" s="1"/>
      <c r="AE190" s="1"/>
      <c r="AF190" s="1"/>
      <c r="AU190" s="2">
        <f>IF(D133=0,E133/F80,D133)</f>
        <v>324</v>
      </c>
    </row>
    <row r="191" spans="1:47" ht="15.45" hidden="1" x14ac:dyDescent="0.4">
      <c r="A191" s="97" t="s">
        <v>158</v>
      </c>
      <c r="B191" s="93"/>
      <c r="C191" s="93"/>
      <c r="D191" s="98">
        <v>10</v>
      </c>
      <c r="E191" s="108"/>
      <c r="F191" s="94" t="s">
        <v>159</v>
      </c>
      <c r="G191" s="108"/>
      <c r="H191" s="96">
        <f ca="1">AU293</f>
        <v>33415.522988268262</v>
      </c>
      <c r="I191" s="43"/>
      <c r="J191" s="43"/>
      <c r="K191" s="43"/>
      <c r="L191" s="43"/>
      <c r="M191" s="43"/>
      <c r="N191" s="43"/>
      <c r="O191" s="43"/>
      <c r="P191" s="43"/>
      <c r="Q191" s="43"/>
      <c r="R191" s="43"/>
      <c r="S191" s="43"/>
      <c r="T191" s="43"/>
      <c r="U191" s="43"/>
      <c r="V191" s="43"/>
      <c r="W191" s="43"/>
      <c r="X191" s="43"/>
      <c r="Y191" s="43"/>
      <c r="Z191" s="43"/>
      <c r="AA191" s="58"/>
      <c r="AB191" s="59"/>
      <c r="AC191" s="1"/>
      <c r="AD191" s="1"/>
      <c r="AE191" s="1"/>
      <c r="AF191" s="1"/>
      <c r="AU191" s="2">
        <f>H133/H7</f>
        <v>3.3047735618115057</v>
      </c>
    </row>
    <row r="192" spans="1:47" ht="15.45" hidden="1" x14ac:dyDescent="0.4">
      <c r="A192" s="97" t="s">
        <v>187</v>
      </c>
      <c r="B192" s="93"/>
      <c r="C192" s="93"/>
      <c r="D192" s="98">
        <v>4</v>
      </c>
      <c r="E192" s="108"/>
      <c r="F192" s="94" t="s">
        <v>160</v>
      </c>
      <c r="G192" s="108"/>
      <c r="H192" s="107"/>
      <c r="I192" s="27"/>
      <c r="J192" s="27"/>
      <c r="K192" s="27"/>
      <c r="L192" s="27"/>
      <c r="M192" s="27"/>
      <c r="N192" s="27"/>
      <c r="O192" s="27"/>
      <c r="P192" s="27"/>
      <c r="Q192" s="27"/>
      <c r="R192" s="27"/>
      <c r="S192" s="27"/>
      <c r="T192" s="27"/>
      <c r="U192" s="27"/>
      <c r="V192" s="27"/>
      <c r="W192" s="27"/>
      <c r="X192" s="27"/>
      <c r="Y192" s="27"/>
      <c r="Z192" s="27"/>
      <c r="AA192" s="42"/>
      <c r="AB192" s="43"/>
      <c r="AC192" s="1"/>
      <c r="AD192" s="1"/>
      <c r="AE192" s="1"/>
      <c r="AF192" s="1"/>
      <c r="AU192" s="2">
        <f>F133*C4</f>
        <v>31784.399999999998</v>
      </c>
    </row>
    <row r="193" spans="1:47" ht="15.45" hidden="1" x14ac:dyDescent="0.4">
      <c r="A193" s="97" t="s">
        <v>161</v>
      </c>
      <c r="B193" s="93"/>
      <c r="C193" s="93"/>
      <c r="D193" s="180">
        <v>24000</v>
      </c>
      <c r="E193" s="108"/>
      <c r="F193" s="105" t="str">
        <f>AU294</f>
        <v xml:space="preserve">  at 24000/kg</v>
      </c>
      <c r="G193" s="108"/>
      <c r="H193" s="96">
        <f ca="1">AU295</f>
        <v>1334.7939476735723</v>
      </c>
      <c r="I193" s="27"/>
      <c r="J193" s="27"/>
      <c r="K193" s="27"/>
      <c r="L193" s="27"/>
      <c r="M193" s="27"/>
      <c r="N193" s="27"/>
      <c r="O193" s="27"/>
      <c r="P193" s="27"/>
      <c r="Q193" s="27"/>
      <c r="R193" s="27"/>
      <c r="S193" s="27"/>
      <c r="T193" s="27"/>
      <c r="U193" s="27"/>
      <c r="V193" s="27"/>
      <c r="W193" s="27"/>
      <c r="X193" s="27"/>
      <c r="Y193" s="27"/>
      <c r="Z193" s="27"/>
      <c r="AA193" s="26"/>
      <c r="AB193" s="27"/>
      <c r="AC193" s="1"/>
      <c r="AD193" s="1"/>
      <c r="AE193" s="1"/>
      <c r="AF193" s="1"/>
      <c r="AU193" s="2" t="str">
        <f>"  "&amp;FIXED(C4,0,TRUE)&amp;" Cows"</f>
        <v xml:space="preserve">  98 Cows</v>
      </c>
    </row>
    <row r="194" spans="1:47" ht="15.45" hidden="1" x14ac:dyDescent="0.4">
      <c r="A194" s="111"/>
      <c r="B194" s="93"/>
      <c r="C194" s="93"/>
      <c r="D194" s="93"/>
      <c r="E194" s="108"/>
      <c r="F194" s="94" t="s">
        <v>162</v>
      </c>
      <c r="G194" s="108"/>
      <c r="H194" s="181">
        <f ca="1">AU296</f>
        <v>6.9788412463373213</v>
      </c>
      <c r="I194" s="27"/>
      <c r="J194" s="27"/>
      <c r="K194" s="27"/>
      <c r="L194" s="27"/>
      <c r="M194" s="27"/>
      <c r="N194" s="27"/>
      <c r="O194" s="27"/>
      <c r="P194" s="27"/>
      <c r="Q194" s="27"/>
      <c r="R194" s="27"/>
      <c r="S194" s="27"/>
      <c r="T194" s="27"/>
      <c r="U194" s="27"/>
      <c r="V194" s="27"/>
      <c r="W194" s="27"/>
      <c r="X194" s="27"/>
      <c r="Y194" s="27"/>
      <c r="Z194" s="27"/>
      <c r="AA194" s="26"/>
      <c r="AB194" s="27"/>
      <c r="AC194" s="1"/>
      <c r="AD194" s="1"/>
      <c r="AE194" s="1"/>
      <c r="AF194" s="1"/>
      <c r="AU194" s="2">
        <f ca="1">IF(AE117=0,0,HLOOKUP(A2,INDIRECT(AE22),2,FALSE)*INDIRECT(AE117)*0.01)</f>
        <v>0</v>
      </c>
    </row>
    <row r="195" spans="1:47" ht="15.45" hidden="1" x14ac:dyDescent="0.4">
      <c r="A195" s="97" t="s">
        <v>163</v>
      </c>
      <c r="B195" s="93"/>
      <c r="C195" s="93"/>
      <c r="D195" s="93"/>
      <c r="E195" s="108"/>
      <c r="F195" s="112"/>
      <c r="G195" s="108"/>
      <c r="H195" s="107"/>
      <c r="I195" s="27"/>
      <c r="J195" s="27"/>
      <c r="K195" s="27"/>
      <c r="L195" s="27"/>
      <c r="M195" s="27"/>
      <c r="N195" s="27"/>
      <c r="O195" s="27"/>
      <c r="P195" s="27"/>
      <c r="Q195" s="27"/>
      <c r="R195" s="27"/>
      <c r="S195" s="27"/>
      <c r="T195" s="27"/>
      <c r="U195" s="27"/>
      <c r="V195" s="27"/>
      <c r="W195" s="27"/>
      <c r="X195" s="27"/>
      <c r="Y195" s="27"/>
      <c r="Z195" s="27"/>
      <c r="AA195" s="26"/>
      <c r="AB195" s="27"/>
      <c r="AC195" s="1"/>
      <c r="AD195" s="1"/>
      <c r="AE195" s="1"/>
      <c r="AF195" s="1"/>
      <c r="AU195" s="2">
        <f ca="1">H138/C4</f>
        <v>0</v>
      </c>
    </row>
    <row r="196" spans="1:47" ht="15.45" hidden="1" x14ac:dyDescent="0.4">
      <c r="A196" s="97" t="s">
        <v>183</v>
      </c>
      <c r="B196" s="93"/>
      <c r="C196" s="93"/>
      <c r="D196" s="93"/>
      <c r="E196" s="93"/>
      <c r="F196" s="93"/>
      <c r="G196" s="93"/>
      <c r="H196" s="104"/>
      <c r="I196" s="27"/>
      <c r="J196" s="27"/>
      <c r="K196" s="27"/>
      <c r="L196" s="27"/>
      <c r="M196" s="27"/>
      <c r="N196" s="27"/>
      <c r="O196" s="27"/>
      <c r="P196" s="27"/>
      <c r="Q196" s="27"/>
      <c r="R196" s="27"/>
      <c r="S196" s="27"/>
      <c r="T196" s="27"/>
      <c r="U196" s="27"/>
      <c r="V196" s="27"/>
      <c r="W196" s="27"/>
      <c r="X196" s="27"/>
      <c r="Y196" s="27"/>
      <c r="Z196" s="27"/>
      <c r="AA196" s="26"/>
      <c r="AB196" s="27"/>
      <c r="AC196" s="1"/>
      <c r="AD196" s="1"/>
      <c r="AE196" s="1"/>
      <c r="AF196" s="1"/>
      <c r="AU196" s="2">
        <f ca="1">H138/H7</f>
        <v>0</v>
      </c>
    </row>
    <row r="197" spans="1:47" ht="15.45" hidden="1" x14ac:dyDescent="0.4">
      <c r="A197" s="111"/>
      <c r="B197" s="103"/>
      <c r="C197" s="103"/>
      <c r="D197" s="103"/>
      <c r="E197" s="103"/>
      <c r="F197" s="103"/>
      <c r="G197" s="108"/>
      <c r="H197" s="182" t="s">
        <v>59</v>
      </c>
      <c r="I197" s="27"/>
      <c r="J197" s="27"/>
      <c r="K197" s="27"/>
      <c r="L197" s="27"/>
      <c r="M197" s="27"/>
      <c r="N197" s="27"/>
      <c r="O197" s="27"/>
      <c r="P197" s="27"/>
      <c r="Q197" s="27"/>
      <c r="R197" s="27"/>
      <c r="S197" s="27"/>
      <c r="T197" s="27"/>
      <c r="U197" s="27"/>
      <c r="V197" s="27"/>
      <c r="W197" s="27"/>
      <c r="X197" s="27"/>
      <c r="Y197" s="27"/>
      <c r="Z197" s="27"/>
      <c r="AA197" s="26"/>
      <c r="AB197" s="27"/>
      <c r="AC197" s="1"/>
      <c r="AD197" s="1"/>
      <c r="AE197" s="1"/>
      <c r="AF197" s="1"/>
      <c r="AU197" s="2">
        <f ca="1">IF(E138=0,D138*C4,IF(INDIRECT(AE117)&gt;0,E138,D138*C4))</f>
        <v>0</v>
      </c>
    </row>
    <row r="198" spans="1:47" ht="15.45" hidden="1" x14ac:dyDescent="0.4">
      <c r="A198" s="183"/>
      <c r="B198" s="93"/>
      <c r="C198" s="93"/>
      <c r="D198" s="184"/>
      <c r="E198" s="93"/>
      <c r="F198" s="112"/>
      <c r="G198" s="93"/>
      <c r="H198" s="173" t="s">
        <v>59</v>
      </c>
      <c r="I198" s="35"/>
      <c r="J198" s="35"/>
      <c r="K198" s="35"/>
      <c r="L198" s="35"/>
      <c r="M198" s="35"/>
      <c r="N198" s="35"/>
      <c r="O198" s="35"/>
      <c r="P198" s="35"/>
      <c r="Q198" s="35"/>
      <c r="R198" s="35"/>
      <c r="S198" s="35"/>
      <c r="T198" s="35"/>
      <c r="U198" s="35"/>
      <c r="V198" s="35"/>
      <c r="W198" s="35"/>
      <c r="X198" s="35"/>
      <c r="Y198" s="35"/>
      <c r="Z198" s="35"/>
      <c r="AA198" s="26"/>
      <c r="AB198" s="27"/>
      <c r="AC198" s="1"/>
      <c r="AD198" s="1"/>
      <c r="AE198" s="1"/>
      <c r="AF198" s="1"/>
      <c r="AU198" s="2">
        <f ca="1">IF(AE118=0,0,HLOOKUP(A2,INDIRECT(AE22),3,FALSE)*INDIRECT(AE118)*0.01)</f>
        <v>0</v>
      </c>
    </row>
    <row r="199" spans="1:47" ht="15.45" x14ac:dyDescent="0.4">
      <c r="A199" s="185"/>
      <c r="B199" s="186"/>
      <c r="C199" s="186"/>
      <c r="D199" s="186"/>
      <c r="E199" s="186"/>
      <c r="F199" s="186"/>
      <c r="G199" s="186"/>
      <c r="H199" s="187"/>
      <c r="I199" s="35"/>
      <c r="J199" s="35"/>
      <c r="K199" s="35"/>
      <c r="L199" s="35"/>
      <c r="M199" s="35"/>
      <c r="N199" s="35"/>
      <c r="O199" s="35"/>
      <c r="P199" s="35"/>
      <c r="Q199" s="35"/>
      <c r="R199" s="35"/>
      <c r="S199" s="35"/>
      <c r="T199" s="35"/>
      <c r="U199" s="35"/>
      <c r="V199" s="35"/>
      <c r="W199" s="35"/>
      <c r="X199" s="35"/>
      <c r="Y199" s="35"/>
      <c r="Z199" s="35"/>
      <c r="AA199" s="34"/>
      <c r="AB199" s="35"/>
      <c r="AC199" s="1"/>
      <c r="AD199" s="1"/>
      <c r="AE199" s="1"/>
      <c r="AF199" s="1"/>
      <c r="AU199" s="2">
        <f ca="1">H139/C4</f>
        <v>0</v>
      </c>
    </row>
    <row r="200" spans="1:47" ht="15.45" x14ac:dyDescent="0.4">
      <c r="A200" s="188"/>
      <c r="B200" s="189"/>
      <c r="C200" s="189"/>
      <c r="D200" s="190" t="s">
        <v>205</v>
      </c>
      <c r="E200" s="189"/>
      <c r="F200" s="189"/>
      <c r="G200" s="189"/>
      <c r="H200" s="191"/>
      <c r="I200" s="35"/>
      <c r="J200" s="35"/>
      <c r="K200" s="35"/>
      <c r="L200" s="35"/>
      <c r="M200" s="35"/>
      <c r="N200" s="35"/>
      <c r="O200" s="35"/>
      <c r="P200" s="35"/>
      <c r="Q200" s="35"/>
      <c r="R200" s="35"/>
      <c r="S200" s="35"/>
      <c r="T200" s="35"/>
      <c r="U200" s="35"/>
      <c r="V200" s="35"/>
      <c r="W200" s="35"/>
      <c r="X200" s="35"/>
      <c r="Y200" s="35"/>
      <c r="Z200" s="35"/>
      <c r="AA200" s="34"/>
      <c r="AB200" s="35"/>
      <c r="AC200" s="1"/>
      <c r="AD200" s="1"/>
      <c r="AE200" s="1"/>
      <c r="AF200" s="1"/>
      <c r="AU200" s="2">
        <f ca="1">H139/H7</f>
        <v>0</v>
      </c>
    </row>
    <row r="201" spans="1:47" ht="15.45" x14ac:dyDescent="0.4">
      <c r="A201" s="192"/>
      <c r="B201" s="189"/>
      <c r="C201" s="189"/>
      <c r="D201" s="189"/>
      <c r="E201" s="189"/>
      <c r="F201" s="189"/>
      <c r="G201" s="189"/>
      <c r="H201" s="191"/>
      <c r="I201" s="35"/>
      <c r="J201" s="35"/>
      <c r="K201" s="35"/>
      <c r="L201" s="35"/>
      <c r="M201" s="35"/>
      <c r="N201" s="35"/>
      <c r="O201" s="35"/>
      <c r="P201" s="35"/>
      <c r="Q201" s="35"/>
      <c r="R201" s="35"/>
      <c r="S201" s="35"/>
      <c r="T201" s="35"/>
      <c r="U201" s="35"/>
      <c r="V201" s="35"/>
      <c r="W201" s="35"/>
      <c r="X201" s="35"/>
      <c r="Y201" s="35"/>
      <c r="Z201" s="35"/>
      <c r="AA201" s="34"/>
      <c r="AB201" s="35"/>
      <c r="AC201" s="1"/>
      <c r="AD201" s="1"/>
      <c r="AE201" s="1"/>
      <c r="AF201" s="1"/>
      <c r="AU201" s="2">
        <f ca="1">IF(E139=0,D139*C4,IF(INDIRECT(AE118)&gt;0,E139,D139*C4))</f>
        <v>0</v>
      </c>
    </row>
    <row r="202" spans="1:47" ht="15.45" x14ac:dyDescent="0.4">
      <c r="A202" s="193"/>
      <c r="B202" s="189"/>
      <c r="C202" s="189"/>
      <c r="D202" s="193" t="s">
        <v>200</v>
      </c>
      <c r="E202" s="194"/>
      <c r="F202" s="194"/>
      <c r="G202" s="189"/>
      <c r="H202" s="191"/>
      <c r="I202" s="27"/>
      <c r="J202" s="27"/>
      <c r="K202" s="27"/>
      <c r="L202" s="27"/>
      <c r="M202" s="27"/>
      <c r="N202" s="27"/>
      <c r="O202" s="27"/>
      <c r="P202" s="27"/>
      <c r="Q202" s="27"/>
      <c r="R202" s="27"/>
      <c r="S202" s="27"/>
      <c r="T202" s="27"/>
      <c r="U202" s="27"/>
      <c r="V202" s="27"/>
      <c r="W202" s="27"/>
      <c r="X202" s="27"/>
      <c r="Y202" s="27"/>
      <c r="Z202" s="27"/>
      <c r="AA202" s="34"/>
      <c r="AB202" s="35"/>
      <c r="AC202" s="1"/>
      <c r="AD202" s="1"/>
      <c r="AE202" s="1"/>
      <c r="AF202" s="1"/>
      <c r="AU202" s="2">
        <f ca="1">IF(AE119=0,0,HLOOKUP(A2,INDIRECT(AE22),4,FALSE)*INDIRECT(AE119)*0.01)</f>
        <v>0</v>
      </c>
    </row>
    <row r="203" spans="1:47" ht="15.45" x14ac:dyDescent="0.4">
      <c r="A203" s="195"/>
      <c r="B203" s="189"/>
      <c r="C203" s="189"/>
      <c r="D203" s="193" t="s">
        <v>242</v>
      </c>
      <c r="E203" s="194"/>
      <c r="F203" s="194"/>
      <c r="G203" s="189"/>
      <c r="H203" s="191"/>
      <c r="I203" s="35"/>
      <c r="J203" s="35"/>
      <c r="K203" s="35"/>
      <c r="L203" s="35"/>
      <c r="M203" s="35"/>
      <c r="N203" s="35"/>
      <c r="O203" s="35"/>
      <c r="P203" s="35"/>
      <c r="Q203" s="35"/>
      <c r="R203" s="35"/>
      <c r="S203" s="35"/>
      <c r="T203" s="35"/>
      <c r="U203" s="35"/>
      <c r="V203" s="35"/>
      <c r="W203" s="35"/>
      <c r="X203" s="35"/>
      <c r="Y203" s="35"/>
      <c r="Z203" s="35"/>
      <c r="AA203" s="26"/>
      <c r="AB203" s="27"/>
      <c r="AC203" s="1"/>
      <c r="AD203" s="1"/>
      <c r="AE203" s="1"/>
      <c r="AF203" s="1"/>
      <c r="AU203" s="2">
        <f ca="1">H140/C4</f>
        <v>274</v>
      </c>
    </row>
    <row r="204" spans="1:47" ht="15.45" x14ac:dyDescent="0.4">
      <c r="A204" s="192"/>
      <c r="B204" s="189"/>
      <c r="C204" s="189"/>
      <c r="D204" s="196" t="s">
        <v>206</v>
      </c>
      <c r="E204" s="194"/>
      <c r="F204" s="194"/>
      <c r="G204" s="189"/>
      <c r="H204" s="191"/>
      <c r="I204" s="35"/>
      <c r="J204" s="35"/>
      <c r="K204" s="35"/>
      <c r="L204" s="35"/>
      <c r="M204" s="35"/>
      <c r="N204" s="35"/>
      <c r="O204" s="35"/>
      <c r="P204" s="35"/>
      <c r="Q204" s="35"/>
      <c r="R204" s="35"/>
      <c r="S204" s="35"/>
      <c r="T204" s="35"/>
      <c r="U204" s="35"/>
      <c r="V204" s="35"/>
      <c r="W204" s="35"/>
      <c r="X204" s="35"/>
      <c r="Y204" s="35"/>
      <c r="Z204" s="35"/>
      <c r="AA204" s="34"/>
      <c r="AB204" s="35"/>
      <c r="AC204" s="1"/>
      <c r="AD204" s="1"/>
      <c r="AE204" s="1"/>
      <c r="AF204" s="1"/>
      <c r="AU204" s="2">
        <f ca="1">H140/H7</f>
        <v>2.7947776417788659</v>
      </c>
    </row>
    <row r="205" spans="1:47" ht="15.45" x14ac:dyDescent="0.4">
      <c r="A205" s="192"/>
      <c r="B205" s="189"/>
      <c r="C205" s="189"/>
      <c r="D205" s="197" t="s">
        <v>201</v>
      </c>
      <c r="E205" s="194"/>
      <c r="F205" s="194"/>
      <c r="G205" s="189"/>
      <c r="H205" s="191"/>
      <c r="I205" s="35"/>
      <c r="J205" s="35"/>
      <c r="K205" s="35"/>
      <c r="L205" s="35"/>
      <c r="M205" s="35"/>
      <c r="N205" s="35"/>
      <c r="O205" s="35"/>
      <c r="P205" s="35"/>
      <c r="Q205" s="35"/>
      <c r="R205" s="35"/>
      <c r="S205" s="35"/>
      <c r="T205" s="35"/>
      <c r="U205" s="35"/>
      <c r="V205" s="35"/>
      <c r="W205" s="35"/>
      <c r="X205" s="35"/>
      <c r="Y205" s="35"/>
      <c r="Z205" s="35"/>
      <c r="AA205" s="34"/>
      <c r="AB205" s="35"/>
      <c r="AC205" s="20"/>
      <c r="AD205" s="20"/>
      <c r="AE205" s="20"/>
      <c r="AU205" s="2">
        <f ca="1">IF(E140=0,D140*C4,IF(INDIRECT(AE119)&gt;0,E140,D140*C4))</f>
        <v>26879.399999999998</v>
      </c>
    </row>
    <row r="206" spans="1:47" ht="15.45" x14ac:dyDescent="0.4">
      <c r="A206" s="198"/>
      <c r="B206" s="199"/>
      <c r="C206" s="199"/>
      <c r="D206" s="199"/>
      <c r="E206" s="200"/>
      <c r="F206" s="200"/>
      <c r="G206" s="201"/>
      <c r="H206" s="202"/>
      <c r="I206" s="35"/>
      <c r="J206" s="35"/>
      <c r="K206" s="35"/>
      <c r="L206" s="35"/>
      <c r="M206" s="35"/>
      <c r="N206" s="35"/>
      <c r="O206" s="35"/>
      <c r="P206" s="35"/>
      <c r="Q206" s="35"/>
      <c r="R206" s="35"/>
      <c r="S206" s="35"/>
      <c r="T206" s="35"/>
      <c r="U206" s="35"/>
      <c r="V206" s="35"/>
      <c r="W206" s="35"/>
      <c r="X206" s="35"/>
      <c r="Y206" s="35"/>
      <c r="Z206" s="35"/>
      <c r="AA206" s="34"/>
      <c r="AB206" s="35"/>
      <c r="AC206" s="20"/>
      <c r="AD206" s="20"/>
      <c r="AE206" s="20"/>
      <c r="AU206" s="2">
        <f ca="1">IF(AE120=0,0,HLOOKUP(A2,INDIRECT(AE22),5,FALSE)*INDIRECT(AE120)*0.01)</f>
        <v>0</v>
      </c>
    </row>
    <row r="207" spans="1:47" ht="15.45" x14ac:dyDescent="0.4">
      <c r="A207" s="189"/>
      <c r="B207" s="189"/>
      <c r="C207" s="189"/>
      <c r="D207" s="189"/>
      <c r="E207" s="194"/>
      <c r="F207" s="194"/>
      <c r="G207" s="203"/>
      <c r="H207" s="203"/>
      <c r="I207" s="70"/>
      <c r="J207" s="70"/>
      <c r="K207" s="70"/>
      <c r="L207" s="70"/>
      <c r="M207" s="70"/>
      <c r="N207" s="70"/>
      <c r="O207" s="70"/>
      <c r="P207" s="70"/>
      <c r="Q207" s="70"/>
      <c r="R207" s="70"/>
      <c r="S207" s="70"/>
      <c r="T207" s="70"/>
      <c r="U207" s="70"/>
      <c r="V207" s="70"/>
      <c r="W207" s="70"/>
      <c r="X207" s="70"/>
      <c r="Y207" s="70"/>
      <c r="Z207" s="70"/>
      <c r="AA207" s="34"/>
      <c r="AB207" s="35"/>
      <c r="AC207" s="20"/>
      <c r="AD207" s="20"/>
      <c r="AE207" s="20"/>
      <c r="AU207" s="2">
        <f ca="1">H141/C4</f>
        <v>0</v>
      </c>
    </row>
    <row r="208" spans="1:47" ht="15.45" x14ac:dyDescent="0.4">
      <c r="A208" s="189" t="s">
        <v>240</v>
      </c>
      <c r="B208" s="189"/>
      <c r="C208" s="189"/>
      <c r="D208" s="189"/>
      <c r="E208" s="203"/>
      <c r="F208" s="189"/>
      <c r="G208" s="203"/>
      <c r="H208" s="203"/>
      <c r="I208" s="71"/>
      <c r="J208" s="71"/>
      <c r="K208" s="71"/>
      <c r="L208" s="71"/>
      <c r="M208" s="71"/>
      <c r="N208" s="71"/>
      <c r="O208" s="71"/>
      <c r="P208" s="71"/>
      <c r="Q208" s="71"/>
      <c r="R208" s="71"/>
      <c r="S208" s="71"/>
      <c r="T208" s="71"/>
      <c r="U208" s="71"/>
      <c r="V208" s="71"/>
      <c r="W208" s="71"/>
      <c r="X208" s="71"/>
      <c r="Y208" s="71"/>
      <c r="Z208" s="71"/>
      <c r="AA208" s="70"/>
      <c r="AB208" s="70"/>
      <c r="AC208" s="20"/>
      <c r="AD208" s="20"/>
      <c r="AE208" s="20"/>
      <c r="AU208" s="2">
        <f ca="1">H141/H7</f>
        <v>0</v>
      </c>
    </row>
    <row r="209" spans="1:47" ht="15.45" x14ac:dyDescent="0.4">
      <c r="A209" s="189"/>
      <c r="B209" s="189"/>
      <c r="C209" s="189"/>
      <c r="D209" s="189"/>
      <c r="E209" s="189"/>
      <c r="F209" s="189"/>
      <c r="G209" s="203"/>
      <c r="H209" s="203"/>
      <c r="I209" s="70"/>
      <c r="J209" s="70"/>
      <c r="K209" s="70"/>
      <c r="L209" s="70"/>
      <c r="M209" s="70"/>
      <c r="N209" s="70"/>
      <c r="O209" s="70"/>
      <c r="P209" s="70"/>
      <c r="Q209" s="70"/>
      <c r="R209" s="70"/>
      <c r="S209" s="70"/>
      <c r="T209" s="70"/>
      <c r="U209" s="70"/>
      <c r="V209" s="70"/>
      <c r="W209" s="70"/>
      <c r="X209" s="70"/>
      <c r="Y209" s="70"/>
      <c r="Z209" s="70"/>
      <c r="AA209" s="71"/>
      <c r="AB209" s="71"/>
      <c r="AC209" s="20"/>
      <c r="AD209" s="20"/>
      <c r="AE209" s="20"/>
      <c r="AU209" s="2">
        <f ca="1">IF(E141=0,D141*C4,IF(INDIRECT(AE120)&gt;0,E141,D141*C4))</f>
        <v>0</v>
      </c>
    </row>
    <row r="210" spans="1:47" ht="15.45" x14ac:dyDescent="0.4">
      <c r="A210" s="189"/>
      <c r="B210" s="189"/>
      <c r="C210" s="189"/>
      <c r="D210" s="189"/>
      <c r="E210" s="189"/>
      <c r="F210" s="189"/>
      <c r="G210" s="189"/>
      <c r="H210" s="189"/>
      <c r="I210" s="70"/>
      <c r="J210" s="70"/>
      <c r="K210" s="70"/>
      <c r="L210" s="70"/>
      <c r="M210" s="70"/>
      <c r="N210" s="70"/>
      <c r="O210" s="70"/>
      <c r="P210" s="70"/>
      <c r="Q210" s="70"/>
      <c r="R210" s="70"/>
      <c r="S210" s="70"/>
      <c r="T210" s="70"/>
      <c r="U210" s="70"/>
      <c r="V210" s="70"/>
      <c r="W210" s="70"/>
      <c r="X210" s="70"/>
      <c r="Y210" s="70"/>
      <c r="Z210" s="70"/>
      <c r="AA210" s="70"/>
      <c r="AB210" s="70"/>
      <c r="AC210" s="20"/>
      <c r="AD210" s="20"/>
      <c r="AE210" s="20"/>
      <c r="AU210" s="2">
        <f ca="1">IF(AE121=0,0,HLOOKUP(A2,INDIRECT(AE22),6,FALSE)*INDIRECT(AE121)*0.01)</f>
        <v>0</v>
      </c>
    </row>
    <row r="211" spans="1:47" ht="15.45" x14ac:dyDescent="0.4">
      <c r="A211" s="189"/>
      <c r="B211" s="189"/>
      <c r="C211" s="189"/>
      <c r="D211" s="189"/>
      <c r="E211" s="203"/>
      <c r="F211" s="189"/>
      <c r="G211" s="203"/>
      <c r="H211" s="203"/>
      <c r="I211" s="70"/>
      <c r="J211" s="70"/>
      <c r="K211" s="70"/>
      <c r="L211" s="70"/>
      <c r="M211" s="70"/>
      <c r="N211" s="70"/>
      <c r="O211" s="70"/>
      <c r="P211" s="70"/>
      <c r="Q211" s="70"/>
      <c r="R211" s="70"/>
      <c r="S211" s="70"/>
      <c r="T211" s="70"/>
      <c r="U211" s="70"/>
      <c r="V211" s="70"/>
      <c r="W211" s="70"/>
      <c r="X211" s="70"/>
      <c r="Y211" s="70"/>
      <c r="Z211" s="70"/>
      <c r="AA211" s="70"/>
      <c r="AB211" s="70"/>
      <c r="AC211" s="20"/>
      <c r="AD211" s="20"/>
      <c r="AE211" s="20"/>
      <c r="AU211" s="2">
        <f ca="1">H142/C4</f>
        <v>163</v>
      </c>
    </row>
    <row r="212" spans="1:47" ht="15.45" x14ac:dyDescent="0.4">
      <c r="A212" s="189"/>
      <c r="B212" s="189"/>
      <c r="C212" s="189"/>
      <c r="D212" s="189"/>
      <c r="E212" s="203"/>
      <c r="F212" s="189"/>
      <c r="G212" s="203"/>
      <c r="H212" s="203"/>
      <c r="I212" s="70"/>
      <c r="J212" s="70"/>
      <c r="K212" s="70"/>
      <c r="L212" s="70"/>
      <c r="M212" s="70"/>
      <c r="N212" s="70"/>
      <c r="O212" s="70"/>
      <c r="P212" s="70"/>
      <c r="Q212" s="70"/>
      <c r="R212" s="70"/>
      <c r="S212" s="70"/>
      <c r="T212" s="70"/>
      <c r="U212" s="70"/>
      <c r="V212" s="70"/>
      <c r="W212" s="70"/>
      <c r="X212" s="70"/>
      <c r="Y212" s="70"/>
      <c r="Z212" s="70"/>
      <c r="AA212" s="70"/>
      <c r="AB212" s="70"/>
      <c r="AC212" s="20"/>
      <c r="AD212" s="20"/>
      <c r="AE212" s="20"/>
      <c r="AU212" s="2">
        <f ca="1">H142/H7</f>
        <v>1.6625866993064058</v>
      </c>
    </row>
    <row r="213" spans="1:47" ht="15.45" x14ac:dyDescent="0.4">
      <c r="A213" s="189"/>
      <c r="B213" s="189"/>
      <c r="C213" s="189"/>
      <c r="D213" s="189"/>
      <c r="E213" s="203"/>
      <c r="F213" s="189"/>
      <c r="G213" s="203"/>
      <c r="H213" s="203"/>
      <c r="I213" s="70"/>
      <c r="J213" s="70"/>
      <c r="K213" s="70"/>
      <c r="L213" s="70"/>
      <c r="M213" s="70"/>
      <c r="N213" s="70"/>
      <c r="O213" s="70"/>
      <c r="P213" s="70"/>
      <c r="Q213" s="70"/>
      <c r="R213" s="70"/>
      <c r="S213" s="70"/>
      <c r="T213" s="70"/>
      <c r="U213" s="70"/>
      <c r="V213" s="70"/>
      <c r="W213" s="70"/>
      <c r="X213" s="70"/>
      <c r="Y213" s="70"/>
      <c r="Z213" s="70"/>
      <c r="AA213" s="70"/>
      <c r="AB213" s="70"/>
      <c r="AC213" s="20"/>
      <c r="AD213" s="20"/>
      <c r="AE213" s="20"/>
      <c r="AU213" s="2">
        <f ca="1">IF(E142=0,D142*C4,IF(INDIRECT(AE121)&gt;0,E142,D142*C4))</f>
        <v>15990.3</v>
      </c>
    </row>
    <row r="214" spans="1:47" ht="15.45" x14ac:dyDescent="0.4">
      <c r="A214" s="189"/>
      <c r="B214" s="189"/>
      <c r="C214" s="189"/>
      <c r="D214" s="189"/>
      <c r="E214" s="203"/>
      <c r="F214" s="189"/>
      <c r="G214" s="203"/>
      <c r="H214" s="203"/>
      <c r="I214" s="70"/>
      <c r="J214" s="70"/>
      <c r="K214" s="70"/>
      <c r="L214" s="70"/>
      <c r="M214" s="70"/>
      <c r="N214" s="70"/>
      <c r="O214" s="70"/>
      <c r="P214" s="70"/>
      <c r="Q214" s="70"/>
      <c r="R214" s="70"/>
      <c r="S214" s="70"/>
      <c r="T214" s="70"/>
      <c r="U214" s="70"/>
      <c r="V214" s="70"/>
      <c r="W214" s="70"/>
      <c r="X214" s="70"/>
      <c r="Y214" s="70"/>
      <c r="Z214" s="70"/>
      <c r="AA214" s="70"/>
      <c r="AB214" s="70"/>
      <c r="AC214" s="23"/>
      <c r="AD214" s="20"/>
      <c r="AE214" s="20"/>
      <c r="AU214" s="2">
        <f ca="1">IF(AE124=0,0,HLOOKUP(A2,INDIRECT(AE22),7,FALSE)*INDIRECT(AE124)*0.01)</f>
        <v>0</v>
      </c>
    </row>
    <row r="215" spans="1:47" ht="15.9" x14ac:dyDescent="0.45">
      <c r="A215" s="204"/>
      <c r="B215" s="204"/>
      <c r="C215" s="204"/>
      <c r="D215" s="204"/>
      <c r="E215" s="205"/>
      <c r="F215" s="204"/>
      <c r="G215" s="205"/>
      <c r="H215" s="205"/>
      <c r="I215" s="71"/>
      <c r="J215" s="71"/>
      <c r="K215" s="71"/>
      <c r="L215" s="71"/>
      <c r="M215" s="71"/>
      <c r="N215" s="71"/>
      <c r="O215" s="71"/>
      <c r="P215" s="71"/>
      <c r="Q215" s="71"/>
      <c r="R215" s="71"/>
      <c r="S215" s="71"/>
      <c r="T215" s="71"/>
      <c r="U215" s="71"/>
      <c r="V215" s="71"/>
      <c r="W215" s="71"/>
      <c r="X215" s="71"/>
      <c r="Y215" s="71"/>
      <c r="Z215" s="71"/>
      <c r="AA215" s="70"/>
      <c r="AB215" s="70"/>
      <c r="AC215" s="20"/>
      <c r="AD215" s="20"/>
      <c r="AE215" s="20"/>
      <c r="AU215" s="2">
        <f ca="1">H145/C4</f>
        <v>112.89500509683997</v>
      </c>
    </row>
    <row r="216" spans="1:47" ht="15.9" x14ac:dyDescent="0.45">
      <c r="A216" s="204"/>
      <c r="B216" s="204"/>
      <c r="C216" s="206"/>
      <c r="D216" s="204"/>
      <c r="E216" s="204"/>
      <c r="F216" s="204"/>
      <c r="G216" s="206"/>
      <c r="H216" s="204"/>
      <c r="I216" s="70"/>
      <c r="J216" s="70"/>
      <c r="K216" s="70"/>
      <c r="L216" s="70"/>
      <c r="M216" s="70"/>
      <c r="N216" s="70"/>
      <c r="O216" s="70"/>
      <c r="P216" s="70"/>
      <c r="Q216" s="70"/>
      <c r="R216" s="70"/>
      <c r="S216" s="70"/>
      <c r="T216" s="70"/>
      <c r="U216" s="70"/>
      <c r="V216" s="70"/>
      <c r="W216" s="70"/>
      <c r="X216" s="70"/>
      <c r="Y216" s="70"/>
      <c r="Z216" s="70"/>
      <c r="AA216" s="71"/>
      <c r="AB216" s="71"/>
      <c r="AC216" s="20"/>
      <c r="AD216" s="20"/>
      <c r="AE216" s="20"/>
      <c r="AU216" s="2">
        <f ca="1">H145/H7</f>
        <v>1.1515198398290492</v>
      </c>
    </row>
    <row r="217" spans="1:47" ht="15.9" x14ac:dyDescent="0.45">
      <c r="A217" s="204"/>
      <c r="B217" s="204"/>
      <c r="C217" s="204"/>
      <c r="D217" s="204"/>
      <c r="E217" s="204"/>
      <c r="F217" s="206"/>
      <c r="G217" s="205"/>
      <c r="H217" s="205"/>
      <c r="I217" s="70"/>
      <c r="J217" s="70"/>
      <c r="K217" s="70"/>
      <c r="L217" s="70"/>
      <c r="M217" s="70"/>
      <c r="N217" s="70"/>
      <c r="O217" s="70"/>
      <c r="P217" s="70"/>
      <c r="Q217" s="70"/>
      <c r="R217" s="70"/>
      <c r="S217" s="70"/>
      <c r="T217" s="70"/>
      <c r="U217" s="70"/>
      <c r="V217" s="70"/>
      <c r="W217" s="70"/>
      <c r="X217" s="70"/>
      <c r="Y217" s="70"/>
      <c r="Z217" s="70"/>
      <c r="AA217" s="70"/>
      <c r="AB217" s="70"/>
      <c r="AC217" s="20"/>
      <c r="AD217" s="20"/>
      <c r="AE217" s="20"/>
      <c r="AU217" s="2">
        <f ca="1">IF(E145=0,AD122,IF(INDIRECT(AE124)&gt;0,E145,AD122))</f>
        <v>11075</v>
      </c>
    </row>
    <row r="218" spans="1:47" ht="15.9" x14ac:dyDescent="0.45">
      <c r="A218" s="204"/>
      <c r="B218" s="204"/>
      <c r="C218" s="204"/>
      <c r="D218" s="204"/>
      <c r="E218" s="205"/>
      <c r="F218" s="204"/>
      <c r="G218" s="205"/>
      <c r="H218" s="205"/>
      <c r="I218" s="70"/>
      <c r="J218" s="70"/>
      <c r="K218" s="70"/>
      <c r="L218" s="70"/>
      <c r="M218" s="70"/>
      <c r="N218" s="70"/>
      <c r="O218" s="70"/>
      <c r="P218" s="70"/>
      <c r="Q218" s="70"/>
      <c r="R218" s="70"/>
      <c r="S218" s="70"/>
      <c r="T218" s="70"/>
      <c r="U218" s="70"/>
      <c r="V218" s="70"/>
      <c r="W218" s="70"/>
      <c r="X218" s="70"/>
      <c r="Y218" s="70"/>
      <c r="Z218" s="70"/>
      <c r="AA218" s="70"/>
      <c r="AB218" s="70"/>
      <c r="AC218" s="20"/>
      <c r="AD218" s="20"/>
      <c r="AE218" s="20"/>
      <c r="AU218" s="2">
        <f>H52/(E39+E45)</f>
        <v>22.276559372267027</v>
      </c>
    </row>
    <row r="219" spans="1:47" ht="15.9" x14ac:dyDescent="0.45">
      <c r="A219" s="204"/>
      <c r="B219" s="204"/>
      <c r="C219" s="204"/>
      <c r="D219" s="204"/>
      <c r="E219" s="205"/>
      <c r="F219" s="206"/>
      <c r="G219" s="205"/>
      <c r="H219" s="205"/>
      <c r="I219" s="70"/>
      <c r="J219" s="70"/>
      <c r="K219" s="70"/>
      <c r="L219" s="70"/>
      <c r="M219" s="70"/>
      <c r="N219" s="70"/>
      <c r="O219" s="70"/>
      <c r="P219" s="70"/>
      <c r="Q219" s="70"/>
      <c r="R219" s="70"/>
      <c r="S219" s="70"/>
      <c r="T219" s="70"/>
      <c r="U219" s="70"/>
      <c r="V219" s="70"/>
      <c r="W219" s="70"/>
      <c r="X219" s="70"/>
      <c r="Y219" s="70"/>
      <c r="Z219" s="70"/>
      <c r="AA219" s="70"/>
      <c r="AB219" s="70"/>
      <c r="AC219" s="20"/>
      <c r="AD219" s="20"/>
      <c r="AE219" s="22"/>
      <c r="AU219" s="2">
        <f ca="1">H147/C4</f>
        <v>6377.4289092762501</v>
      </c>
    </row>
    <row r="220" spans="1:47" ht="15.9" x14ac:dyDescent="0.45">
      <c r="A220" s="204"/>
      <c r="B220" s="204"/>
      <c r="C220" s="206"/>
      <c r="D220" s="204"/>
      <c r="E220" s="205"/>
      <c r="F220" s="206"/>
      <c r="G220" s="205"/>
      <c r="H220" s="205"/>
      <c r="I220" s="70"/>
      <c r="J220" s="70"/>
      <c r="K220" s="70"/>
      <c r="L220" s="70"/>
      <c r="M220" s="70"/>
      <c r="N220" s="70"/>
      <c r="O220" s="70"/>
      <c r="P220" s="70"/>
      <c r="Q220" s="70"/>
      <c r="R220" s="70"/>
      <c r="S220" s="70"/>
      <c r="T220" s="70"/>
      <c r="U220" s="70"/>
      <c r="V220" s="70"/>
      <c r="W220" s="70"/>
      <c r="X220" s="70"/>
      <c r="Y220" s="70"/>
      <c r="Z220" s="70"/>
      <c r="AA220" s="70"/>
      <c r="AB220" s="70"/>
      <c r="AC220" s="20"/>
      <c r="AD220" s="20"/>
      <c r="AE220" s="22"/>
      <c r="AU220" s="2">
        <f ca="1">H147/H7</f>
        <v>65.049254480581908</v>
      </c>
    </row>
    <row r="221" spans="1:47" ht="15.9" x14ac:dyDescent="0.45">
      <c r="A221" s="204"/>
      <c r="B221" s="204"/>
      <c r="C221" s="204"/>
      <c r="D221" s="204"/>
      <c r="E221" s="205"/>
      <c r="F221" s="206"/>
      <c r="G221" s="205"/>
      <c r="H221" s="205"/>
      <c r="I221" s="71"/>
      <c r="J221" s="71"/>
      <c r="K221" s="71"/>
      <c r="L221" s="71"/>
      <c r="M221" s="71"/>
      <c r="N221" s="71"/>
      <c r="O221" s="71"/>
      <c r="P221" s="71"/>
      <c r="Q221" s="71"/>
      <c r="R221" s="71"/>
      <c r="S221" s="71"/>
      <c r="T221" s="71"/>
      <c r="U221" s="71"/>
      <c r="V221" s="71"/>
      <c r="W221" s="71"/>
      <c r="X221" s="71"/>
      <c r="Y221" s="71"/>
      <c r="Z221" s="71"/>
      <c r="AA221" s="70"/>
      <c r="AB221" s="70"/>
      <c r="AC221" s="22"/>
      <c r="AD221" s="20"/>
      <c r="AE221" s="22"/>
      <c r="AU221" s="3">
        <f ca="1">SUM(H110,H120:H133,H138:H145)</f>
        <v>625625.77600000007</v>
      </c>
    </row>
    <row r="222" spans="1:47" ht="15.9" x14ac:dyDescent="0.45">
      <c r="A222" s="204"/>
      <c r="B222" s="204"/>
      <c r="C222" s="206"/>
      <c r="D222" s="204"/>
      <c r="E222" s="204"/>
      <c r="F222" s="206"/>
      <c r="G222" s="205"/>
      <c r="H222" s="205"/>
      <c r="I222" s="72"/>
      <c r="J222" s="72"/>
      <c r="K222" s="72"/>
      <c r="L222" s="72"/>
      <c r="M222" s="72"/>
      <c r="N222" s="72"/>
      <c r="O222" s="72"/>
      <c r="P222" s="72"/>
      <c r="Q222" s="72"/>
      <c r="R222" s="72"/>
      <c r="S222" s="72"/>
      <c r="T222" s="72"/>
      <c r="U222" s="72"/>
      <c r="V222" s="72"/>
      <c r="W222" s="72"/>
      <c r="X222" s="72"/>
      <c r="Y222" s="72"/>
      <c r="Z222" s="72"/>
      <c r="AA222" s="71"/>
      <c r="AB222" s="71"/>
      <c r="AC222" s="20"/>
      <c r="AD222" s="20"/>
      <c r="AE222" s="22"/>
      <c r="AU222" s="2" t="str">
        <f>"  "&amp;FIXED(C4,0,TRUE)&amp;" Cows"</f>
        <v xml:space="preserve">  98 Cows</v>
      </c>
    </row>
    <row r="223" spans="1:47" ht="15.9" x14ac:dyDescent="0.45">
      <c r="A223" s="204"/>
      <c r="B223" s="204"/>
      <c r="C223" s="207"/>
      <c r="D223" s="204"/>
      <c r="E223" s="204"/>
      <c r="F223" s="206"/>
      <c r="G223" s="204"/>
      <c r="H223" s="204"/>
      <c r="I223" s="71"/>
      <c r="J223" s="71"/>
      <c r="K223" s="71"/>
      <c r="L223" s="71"/>
      <c r="M223" s="71"/>
      <c r="N223" s="71"/>
      <c r="O223" s="71"/>
      <c r="P223" s="71"/>
      <c r="Q223" s="71"/>
      <c r="R223" s="71"/>
      <c r="S223" s="71"/>
      <c r="T223" s="71"/>
      <c r="U223" s="71"/>
      <c r="V223" s="71"/>
      <c r="W223" s="71"/>
      <c r="X223" s="71"/>
      <c r="Y223" s="71"/>
      <c r="Z223" s="71"/>
      <c r="AA223" s="72"/>
      <c r="AB223" s="72"/>
      <c r="AC223" s="20"/>
      <c r="AD223" s="20"/>
      <c r="AE223" s="22"/>
      <c r="AU223" s="2">
        <f ca="1">IF(AE129=0,0,HLOOKUP(A2,INDIRECT(AE22),9,FALSE)*INDIRECT(AE129)*0.01)</f>
        <v>0</v>
      </c>
    </row>
    <row r="224" spans="1:47" ht="15.9" x14ac:dyDescent="0.45">
      <c r="A224" s="204"/>
      <c r="B224" s="204"/>
      <c r="C224" s="204"/>
      <c r="D224" s="204"/>
      <c r="E224" s="205"/>
      <c r="F224" s="204"/>
      <c r="G224" s="205"/>
      <c r="H224" s="205"/>
      <c r="I224" s="71"/>
      <c r="J224" s="71"/>
      <c r="K224" s="71"/>
      <c r="L224" s="71"/>
      <c r="M224" s="71"/>
      <c r="N224" s="71"/>
      <c r="O224" s="71"/>
      <c r="P224" s="71"/>
      <c r="Q224" s="71"/>
      <c r="R224" s="71"/>
      <c r="S224" s="71"/>
      <c r="T224" s="71"/>
      <c r="U224" s="71"/>
      <c r="V224" s="71"/>
      <c r="W224" s="71"/>
      <c r="X224" s="71"/>
      <c r="Y224" s="71"/>
      <c r="Z224" s="71"/>
      <c r="AA224" s="71"/>
      <c r="AB224" s="71"/>
      <c r="AC224" s="20"/>
      <c r="AD224" s="20"/>
      <c r="AE224" s="20"/>
      <c r="AU224" s="2">
        <f ca="1">H151/C4</f>
        <v>762</v>
      </c>
    </row>
    <row r="225" spans="1:47" ht="15.9" x14ac:dyDescent="0.45">
      <c r="A225" s="204"/>
      <c r="B225" s="204"/>
      <c r="C225" s="204"/>
      <c r="D225" s="204"/>
      <c r="E225" s="205"/>
      <c r="F225" s="206"/>
      <c r="G225" s="205"/>
      <c r="H225" s="205"/>
      <c r="I225" s="73"/>
      <c r="J225" s="73"/>
      <c r="K225" s="73"/>
      <c r="L225" s="73"/>
      <c r="M225" s="73"/>
      <c r="N225" s="73"/>
      <c r="O225" s="73"/>
      <c r="P225" s="73"/>
      <c r="Q225" s="73"/>
      <c r="R225" s="73"/>
      <c r="S225" s="73"/>
      <c r="T225" s="73"/>
      <c r="U225" s="73"/>
      <c r="V225" s="73"/>
      <c r="W225" s="73"/>
      <c r="X225" s="73"/>
      <c r="Y225" s="73"/>
      <c r="Z225" s="73"/>
      <c r="AA225" s="71"/>
      <c r="AB225" s="71"/>
      <c r="AC225" s="20"/>
      <c r="AD225" s="20"/>
      <c r="AE225" s="22"/>
      <c r="AU225" s="2">
        <f ca="1">H151/H7</f>
        <v>7.7723378212974303</v>
      </c>
    </row>
    <row r="226" spans="1:47" ht="15.9" x14ac:dyDescent="0.45">
      <c r="A226" s="204"/>
      <c r="B226" s="204"/>
      <c r="C226" s="204"/>
      <c r="D226" s="204"/>
      <c r="E226" s="205"/>
      <c r="F226" s="204"/>
      <c r="G226" s="205"/>
      <c r="H226" s="205"/>
      <c r="I226" s="73"/>
      <c r="J226" s="73"/>
      <c r="K226" s="73"/>
      <c r="L226" s="73"/>
      <c r="M226" s="73"/>
      <c r="N226" s="73"/>
      <c r="O226" s="73"/>
      <c r="P226" s="73"/>
      <c r="Q226" s="73"/>
      <c r="R226" s="73"/>
      <c r="S226" s="73"/>
      <c r="T226" s="73"/>
      <c r="U226" s="73"/>
      <c r="V226" s="73"/>
      <c r="W226" s="73"/>
      <c r="X226" s="73"/>
      <c r="Y226" s="73"/>
      <c r="Z226" s="73"/>
      <c r="AA226" s="73"/>
      <c r="AB226" s="73"/>
      <c r="AC226" s="20"/>
      <c r="AD226" s="20"/>
      <c r="AE226" s="22"/>
      <c r="AU226" s="2">
        <f ca="1">IF(E151=0,D151*C4,IF(INDIRECT(AE129)&gt;0,E151,D151*C4))</f>
        <v>74752.2</v>
      </c>
    </row>
    <row r="227" spans="1:47" ht="15.9" x14ac:dyDescent="0.45">
      <c r="A227" s="204"/>
      <c r="B227" s="204"/>
      <c r="C227" s="204"/>
      <c r="D227" s="204"/>
      <c r="E227" s="205"/>
      <c r="F227" s="204"/>
      <c r="G227" s="205"/>
      <c r="H227" s="205"/>
      <c r="I227" s="73"/>
      <c r="J227" s="73"/>
      <c r="K227" s="73"/>
      <c r="L227" s="73"/>
      <c r="M227" s="73"/>
      <c r="N227" s="73"/>
      <c r="O227" s="73"/>
      <c r="P227" s="73"/>
      <c r="Q227" s="73"/>
      <c r="R227" s="73"/>
      <c r="S227" s="73"/>
      <c r="T227" s="73"/>
      <c r="U227" s="73"/>
      <c r="V227" s="73"/>
      <c r="W227" s="73"/>
      <c r="X227" s="73"/>
      <c r="Y227" s="73"/>
      <c r="Z227" s="73"/>
      <c r="AA227" s="73"/>
      <c r="AB227" s="73"/>
      <c r="AC227" s="20"/>
      <c r="AD227" s="20"/>
      <c r="AE227" s="22"/>
      <c r="AU227" s="2">
        <f ca="1">IF(AE130=0,0,HLOOKUP(A2,INDIRECT(AE22),10,FALSE)*INDIRECT(AE130)*0.01)</f>
        <v>0</v>
      </c>
    </row>
    <row r="228" spans="1:47" ht="15.9" x14ac:dyDescent="0.45">
      <c r="A228" s="204"/>
      <c r="B228" s="204"/>
      <c r="C228" s="206"/>
      <c r="D228" s="206"/>
      <c r="E228" s="206"/>
      <c r="F228" s="206"/>
      <c r="G228" s="205"/>
      <c r="H228" s="205"/>
      <c r="I228" s="72"/>
      <c r="J228" s="72"/>
      <c r="K228" s="72"/>
      <c r="L228" s="72"/>
      <c r="M228" s="72"/>
      <c r="N228" s="72"/>
      <c r="O228" s="72"/>
      <c r="P228" s="72"/>
      <c r="Q228" s="72"/>
      <c r="R228" s="72"/>
      <c r="S228" s="72"/>
      <c r="T228" s="72"/>
      <c r="U228" s="72"/>
      <c r="V228" s="72"/>
      <c r="W228" s="72"/>
      <c r="X228" s="72"/>
      <c r="Y228" s="72"/>
      <c r="Z228" s="72"/>
      <c r="AA228" s="73"/>
      <c r="AB228" s="73"/>
      <c r="AC228" s="20"/>
      <c r="AD228" s="20"/>
      <c r="AE228" s="22"/>
      <c r="AU228" s="2">
        <f ca="1">H152/C4</f>
        <v>861</v>
      </c>
    </row>
    <row r="229" spans="1:47" ht="15.9" x14ac:dyDescent="0.45">
      <c r="A229" s="204"/>
      <c r="B229" s="204"/>
      <c r="C229" s="204"/>
      <c r="D229" s="204"/>
      <c r="E229" s="204"/>
      <c r="F229" s="204"/>
      <c r="G229" s="204"/>
      <c r="H229" s="204"/>
      <c r="I229" s="72"/>
      <c r="J229" s="72"/>
      <c r="K229" s="72"/>
      <c r="L229" s="72"/>
      <c r="M229" s="72"/>
      <c r="N229" s="72"/>
      <c r="O229" s="72"/>
      <c r="P229" s="72"/>
      <c r="Q229" s="72"/>
      <c r="R229" s="72"/>
      <c r="S229" s="72"/>
      <c r="T229" s="72"/>
      <c r="U229" s="72"/>
      <c r="V229" s="72"/>
      <c r="W229" s="72"/>
      <c r="X229" s="72"/>
      <c r="Y229" s="72"/>
      <c r="Z229" s="72"/>
      <c r="AA229" s="72"/>
      <c r="AB229" s="72"/>
      <c r="AC229" s="20"/>
      <c r="AD229" s="20"/>
      <c r="AE229" s="22"/>
      <c r="AU229" s="2">
        <f ca="1">H152/H7</f>
        <v>8.7821297429620575</v>
      </c>
    </row>
    <row r="230" spans="1:47" ht="15.9" x14ac:dyDescent="0.45">
      <c r="A230" s="204"/>
      <c r="B230" s="204"/>
      <c r="C230" s="208"/>
      <c r="D230" s="207"/>
      <c r="E230" s="205"/>
      <c r="F230" s="205"/>
      <c r="G230" s="207"/>
      <c r="H230" s="206"/>
      <c r="I230" s="71"/>
      <c r="J230" s="71"/>
      <c r="K230" s="71"/>
      <c r="L230" s="71"/>
      <c r="M230" s="71"/>
      <c r="N230" s="71"/>
      <c r="O230" s="71"/>
      <c r="P230" s="71"/>
      <c r="Q230" s="71"/>
      <c r="R230" s="71"/>
      <c r="S230" s="71"/>
      <c r="T230" s="71"/>
      <c r="U230" s="71"/>
      <c r="V230" s="71"/>
      <c r="W230" s="71"/>
      <c r="X230" s="71"/>
      <c r="Y230" s="71"/>
      <c r="Z230" s="71"/>
      <c r="AA230" s="72"/>
      <c r="AB230" s="72"/>
      <c r="AC230" s="20"/>
      <c r="AD230" s="20"/>
      <c r="AE230" s="22"/>
      <c r="AU230" s="2">
        <f ca="1">IF(E152=0,D152*C4,IF(INDIRECT(AE130)&gt;0,E152,D152*C4))</f>
        <v>84464.099999999991</v>
      </c>
    </row>
    <row r="231" spans="1:47" ht="15.9" x14ac:dyDescent="0.45">
      <c r="A231" s="204"/>
      <c r="B231" s="204"/>
      <c r="C231" s="204"/>
      <c r="D231" s="204"/>
      <c r="E231" s="205"/>
      <c r="F231" s="205"/>
      <c r="G231" s="207"/>
      <c r="H231" s="204"/>
      <c r="I231" s="73"/>
      <c r="J231" s="73"/>
      <c r="K231" s="73"/>
      <c r="L231" s="73"/>
      <c r="M231" s="73"/>
      <c r="N231" s="73"/>
      <c r="O231" s="73"/>
      <c r="P231" s="73"/>
      <c r="Q231" s="73"/>
      <c r="R231" s="73"/>
      <c r="S231" s="73"/>
      <c r="T231" s="73"/>
      <c r="U231" s="73"/>
      <c r="V231" s="73"/>
      <c r="W231" s="73"/>
      <c r="X231" s="73"/>
      <c r="Y231" s="73"/>
      <c r="Z231" s="73"/>
      <c r="AA231" s="71"/>
      <c r="AB231" s="71"/>
      <c r="AC231" s="20"/>
      <c r="AD231" s="20"/>
      <c r="AE231" s="22"/>
      <c r="AU231" s="2">
        <f ca="1">IF(AE132=0,0,HLOOKUP(A2,INDIRECT(AE22),11,FALSE)*INDIRECT(AE132)*0.01)</f>
        <v>0</v>
      </c>
    </row>
    <row r="232" spans="1:47" ht="15.9" x14ac:dyDescent="0.45">
      <c r="A232" s="204"/>
      <c r="B232" s="204"/>
      <c r="C232" s="204"/>
      <c r="D232" s="204"/>
      <c r="E232" s="204"/>
      <c r="F232" s="204"/>
      <c r="G232" s="204"/>
      <c r="H232" s="204"/>
      <c r="I232" s="73"/>
      <c r="J232" s="73"/>
      <c r="K232" s="73"/>
      <c r="L232" s="73"/>
      <c r="M232" s="73"/>
      <c r="N232" s="73"/>
      <c r="O232" s="73"/>
      <c r="P232" s="73"/>
      <c r="Q232" s="73"/>
      <c r="R232" s="73"/>
      <c r="S232" s="73"/>
      <c r="T232" s="73"/>
      <c r="U232" s="73"/>
      <c r="V232" s="73"/>
      <c r="W232" s="73"/>
      <c r="X232" s="73"/>
      <c r="Y232" s="73"/>
      <c r="Z232" s="73"/>
      <c r="AA232" s="73"/>
      <c r="AB232" s="73"/>
      <c r="AC232" s="23"/>
      <c r="AD232" s="20"/>
      <c r="AE232" s="22"/>
      <c r="AU232" s="2">
        <f ca="1">H153/C4</f>
        <v>0</v>
      </c>
    </row>
    <row r="233" spans="1:47" ht="15.9" x14ac:dyDescent="0.45">
      <c r="A233" s="204"/>
      <c r="B233" s="204"/>
      <c r="C233" s="209"/>
      <c r="D233" s="207"/>
      <c r="E233" s="205"/>
      <c r="F233" s="205"/>
      <c r="G233" s="207"/>
      <c r="H233" s="207"/>
      <c r="I233" s="73"/>
      <c r="J233" s="73"/>
      <c r="K233" s="73"/>
      <c r="L233" s="73"/>
      <c r="M233" s="73"/>
      <c r="N233" s="73"/>
      <c r="O233" s="73"/>
      <c r="P233" s="73"/>
      <c r="Q233" s="73"/>
      <c r="R233" s="73"/>
      <c r="S233" s="73"/>
      <c r="T233" s="73"/>
      <c r="U233" s="73"/>
      <c r="V233" s="73"/>
      <c r="W233" s="73"/>
      <c r="X233" s="73"/>
      <c r="Y233" s="73"/>
      <c r="Z233" s="73"/>
      <c r="AA233" s="73"/>
      <c r="AB233" s="73"/>
      <c r="AC233" s="20"/>
      <c r="AD233" s="20"/>
      <c r="AE233" s="22"/>
      <c r="AU233" s="2">
        <f ca="1">H153/H7</f>
        <v>0</v>
      </c>
    </row>
    <row r="234" spans="1:47" ht="15.9" x14ac:dyDescent="0.45">
      <c r="A234" s="204"/>
      <c r="B234" s="204"/>
      <c r="C234" s="209"/>
      <c r="D234" s="207"/>
      <c r="E234" s="204"/>
      <c r="F234" s="204"/>
      <c r="G234" s="204"/>
      <c r="H234" s="207"/>
      <c r="I234" s="73"/>
      <c r="J234" s="73"/>
      <c r="K234" s="73"/>
      <c r="L234" s="73"/>
      <c r="M234" s="73"/>
      <c r="N234" s="73"/>
      <c r="O234" s="73"/>
      <c r="P234" s="73"/>
      <c r="Q234" s="73"/>
      <c r="R234" s="73"/>
      <c r="S234" s="73"/>
      <c r="T234" s="73"/>
      <c r="U234" s="73"/>
      <c r="V234" s="73"/>
      <c r="W234" s="73"/>
      <c r="X234" s="73"/>
      <c r="Y234" s="73"/>
      <c r="Z234" s="73"/>
      <c r="AA234" s="73"/>
      <c r="AB234" s="73"/>
      <c r="AC234" s="20"/>
      <c r="AD234" s="20"/>
      <c r="AE234" s="20"/>
      <c r="AU234" s="2">
        <f ca="1">IF(E153=0,D153*C4,IF(INDIRECT(AE132)&gt;0,E153,D153*C4))</f>
        <v>0</v>
      </c>
    </row>
    <row r="235" spans="1:47" ht="15.9" x14ac:dyDescent="0.45">
      <c r="A235" s="204"/>
      <c r="B235" s="204"/>
      <c r="C235" s="209"/>
      <c r="D235" s="207"/>
      <c r="E235" s="205"/>
      <c r="F235" s="205"/>
      <c r="G235" s="207"/>
      <c r="H235" s="207"/>
      <c r="I235" s="71"/>
      <c r="J235" s="71"/>
      <c r="K235" s="71"/>
      <c r="L235" s="71"/>
      <c r="M235" s="71"/>
      <c r="N235" s="71"/>
      <c r="O235" s="71"/>
      <c r="P235" s="71"/>
      <c r="Q235" s="71"/>
      <c r="R235" s="71"/>
      <c r="S235" s="71"/>
      <c r="T235" s="71"/>
      <c r="U235" s="71"/>
      <c r="V235" s="71"/>
      <c r="W235" s="71"/>
      <c r="X235" s="71"/>
      <c r="Y235" s="71"/>
      <c r="Z235" s="71"/>
      <c r="AA235" s="73"/>
      <c r="AB235" s="73"/>
      <c r="AC235" s="20"/>
      <c r="AD235" s="20"/>
      <c r="AE235" s="20"/>
      <c r="AU235" s="2">
        <f ca="1">IF(AE133=0,0,HLOOKUP(A2,INDIRECT(AE22),12,FALSE)*INDIRECT(AE133)*0.01)</f>
        <v>0</v>
      </c>
    </row>
    <row r="236" spans="1:47" ht="15.9" x14ac:dyDescent="0.45">
      <c r="A236" s="204"/>
      <c r="B236" s="206"/>
      <c r="C236" s="206"/>
      <c r="D236" s="206"/>
      <c r="E236" s="205"/>
      <c r="F236" s="205"/>
      <c r="G236" s="207"/>
      <c r="H236" s="206"/>
      <c r="I236" s="73"/>
      <c r="J236" s="73"/>
      <c r="K236" s="73"/>
      <c r="L236" s="73"/>
      <c r="M236" s="73"/>
      <c r="N236" s="73"/>
      <c r="O236" s="73"/>
      <c r="P236" s="73"/>
      <c r="Q236" s="73"/>
      <c r="R236" s="73"/>
      <c r="S236" s="73"/>
      <c r="T236" s="73"/>
      <c r="U236" s="73"/>
      <c r="V236" s="73"/>
      <c r="W236" s="73"/>
      <c r="X236" s="73"/>
      <c r="Y236" s="73"/>
      <c r="Z236" s="73"/>
      <c r="AA236" s="71"/>
      <c r="AB236" s="71"/>
      <c r="AC236" s="20"/>
      <c r="AD236" s="20"/>
      <c r="AE236" s="20"/>
      <c r="AU236" s="2">
        <f ca="1">H154/C4</f>
        <v>358</v>
      </c>
    </row>
    <row r="237" spans="1:47" ht="15.9" x14ac:dyDescent="0.45">
      <c r="A237" s="204"/>
      <c r="B237" s="206"/>
      <c r="C237" s="206"/>
      <c r="D237" s="206"/>
      <c r="E237" s="205"/>
      <c r="F237" s="205"/>
      <c r="G237" s="207"/>
      <c r="H237" s="206"/>
      <c r="I237" s="73"/>
      <c r="J237" s="73"/>
      <c r="K237" s="73"/>
      <c r="L237" s="73"/>
      <c r="M237" s="73"/>
      <c r="N237" s="73"/>
      <c r="O237" s="73"/>
      <c r="P237" s="73"/>
      <c r="Q237" s="73"/>
      <c r="R237" s="73"/>
      <c r="S237" s="73"/>
      <c r="T237" s="73"/>
      <c r="U237" s="73"/>
      <c r="V237" s="73"/>
      <c r="W237" s="73"/>
      <c r="X237" s="73"/>
      <c r="Y237" s="73"/>
      <c r="Z237" s="73"/>
      <c r="AA237" s="73"/>
      <c r="AB237" s="73"/>
      <c r="AC237" s="20"/>
      <c r="AD237" s="20"/>
      <c r="AE237" s="20"/>
      <c r="AU237" s="2">
        <f ca="1">H154/H7</f>
        <v>3.6515707874337009</v>
      </c>
    </row>
    <row r="238" spans="1:47" ht="15.9" x14ac:dyDescent="0.45">
      <c r="A238" s="204"/>
      <c r="B238" s="204"/>
      <c r="C238" s="204"/>
      <c r="D238" s="204"/>
      <c r="E238" s="205"/>
      <c r="F238" s="205"/>
      <c r="G238" s="207"/>
      <c r="H238" s="204"/>
      <c r="I238" s="73"/>
      <c r="J238" s="73"/>
      <c r="K238" s="73"/>
      <c r="L238" s="73"/>
      <c r="M238" s="73"/>
      <c r="N238" s="73"/>
      <c r="O238" s="73"/>
      <c r="P238" s="73"/>
      <c r="Q238" s="73"/>
      <c r="R238" s="73"/>
      <c r="S238" s="73"/>
      <c r="T238" s="73"/>
      <c r="U238" s="73"/>
      <c r="V238" s="73"/>
      <c r="W238" s="73"/>
      <c r="X238" s="73"/>
      <c r="Y238" s="73"/>
      <c r="Z238" s="73"/>
      <c r="AA238" s="73"/>
      <c r="AB238" s="73"/>
      <c r="AC238" s="20"/>
      <c r="AD238" s="20"/>
      <c r="AE238" s="20"/>
      <c r="AU238" s="2">
        <f ca="1">IF(E154=0,D154*C4,IF(INDIRECT(AE133)&gt;0,E154,D154*C4))</f>
        <v>35119.799999999996</v>
      </c>
    </row>
    <row r="239" spans="1:47" ht="15.9" x14ac:dyDescent="0.45">
      <c r="A239" s="204"/>
      <c r="B239" s="204"/>
      <c r="C239" s="204"/>
      <c r="D239" s="207"/>
      <c r="E239" s="205"/>
      <c r="F239" s="205"/>
      <c r="G239" s="207"/>
      <c r="H239" s="207"/>
      <c r="I239" s="73"/>
      <c r="J239" s="73"/>
      <c r="K239" s="73"/>
      <c r="L239" s="73"/>
      <c r="M239" s="73"/>
      <c r="N239" s="73"/>
      <c r="O239" s="73"/>
      <c r="P239" s="73"/>
      <c r="Q239" s="73"/>
      <c r="R239" s="73"/>
      <c r="S239" s="73"/>
      <c r="T239" s="73"/>
      <c r="U239" s="73"/>
      <c r="V239" s="73"/>
      <c r="W239" s="73"/>
      <c r="X239" s="73"/>
      <c r="Y239" s="73"/>
      <c r="Z239" s="73"/>
      <c r="AA239" s="73"/>
      <c r="AB239" s="73"/>
      <c r="AC239" s="20"/>
      <c r="AD239" s="20"/>
      <c r="AE239" s="20"/>
      <c r="AU239" s="2">
        <f ca="1">H156/C4</f>
        <v>1980.9999999999998</v>
      </c>
    </row>
    <row r="240" spans="1:47" ht="15.9" x14ac:dyDescent="0.45">
      <c r="A240" s="204"/>
      <c r="B240" s="204"/>
      <c r="C240" s="208"/>
      <c r="D240" s="207"/>
      <c r="E240" s="207"/>
      <c r="F240" s="207"/>
      <c r="G240" s="207"/>
      <c r="H240" s="207"/>
      <c r="I240" s="73"/>
      <c r="J240" s="73"/>
      <c r="K240" s="73"/>
      <c r="L240" s="73"/>
      <c r="M240" s="73"/>
      <c r="N240" s="73"/>
      <c r="O240" s="73"/>
      <c r="P240" s="73"/>
      <c r="Q240" s="73"/>
      <c r="R240" s="73"/>
      <c r="S240" s="73"/>
      <c r="T240" s="73"/>
      <c r="U240" s="73"/>
      <c r="V240" s="73"/>
      <c r="W240" s="73"/>
      <c r="X240" s="73"/>
      <c r="Y240" s="73"/>
      <c r="Z240" s="73"/>
      <c r="AA240" s="73"/>
      <c r="AB240" s="73"/>
      <c r="AC240" s="23"/>
      <c r="AD240" s="20"/>
      <c r="AE240" s="20"/>
      <c r="AU240" s="2">
        <f ca="1">H156/H7</f>
        <v>20.206038351693188</v>
      </c>
    </row>
    <row r="241" spans="1:47" ht="15.9" x14ac:dyDescent="0.45">
      <c r="A241" s="204"/>
      <c r="B241" s="204"/>
      <c r="C241" s="206"/>
      <c r="D241" s="207"/>
      <c r="E241" s="207"/>
      <c r="F241" s="207"/>
      <c r="G241" s="207"/>
      <c r="H241" s="207"/>
      <c r="I241" s="73"/>
      <c r="J241" s="73"/>
      <c r="K241" s="73"/>
      <c r="L241" s="73"/>
      <c r="M241" s="73"/>
      <c r="N241" s="73"/>
      <c r="O241" s="73"/>
      <c r="P241" s="73"/>
      <c r="Q241" s="73"/>
      <c r="R241" s="73"/>
      <c r="S241" s="73"/>
      <c r="T241" s="73"/>
      <c r="U241" s="73"/>
      <c r="V241" s="73"/>
      <c r="W241" s="73"/>
      <c r="X241" s="73"/>
      <c r="Y241" s="73"/>
      <c r="Z241" s="73"/>
      <c r="AA241" s="73"/>
      <c r="AB241" s="73"/>
      <c r="AC241" s="24"/>
      <c r="AD241" s="20"/>
      <c r="AE241" s="24"/>
      <c r="AU241" s="3">
        <f ca="1">SUM(H151:H154)</f>
        <v>194336.09999999998</v>
      </c>
    </row>
    <row r="242" spans="1:47" ht="15.9" x14ac:dyDescent="0.45">
      <c r="A242" s="204"/>
      <c r="B242" s="204"/>
      <c r="C242" s="210"/>
      <c r="D242" s="207"/>
      <c r="E242" s="206"/>
      <c r="F242" s="207"/>
      <c r="G242" s="207"/>
      <c r="H242" s="207"/>
      <c r="I242" s="73"/>
      <c r="J242" s="73"/>
      <c r="K242" s="73"/>
      <c r="L242" s="73"/>
      <c r="M242" s="73"/>
      <c r="N242" s="73"/>
      <c r="O242" s="73"/>
      <c r="P242" s="73"/>
      <c r="Q242" s="73"/>
      <c r="R242" s="73"/>
      <c r="S242" s="73"/>
      <c r="T242" s="73"/>
      <c r="U242" s="73"/>
      <c r="V242" s="73"/>
      <c r="W242" s="73"/>
      <c r="X242" s="73"/>
      <c r="Y242" s="73"/>
      <c r="Z242" s="73"/>
      <c r="AA242" s="73"/>
      <c r="AB242" s="73"/>
      <c r="AC242" s="24"/>
      <c r="AD242" s="24"/>
      <c r="AE242" s="24"/>
      <c r="AU242" s="2">
        <f>G160/C4</f>
        <v>9664.2435270132519</v>
      </c>
    </row>
    <row r="243" spans="1:47" ht="15.9" x14ac:dyDescent="0.45">
      <c r="A243" s="204"/>
      <c r="B243" s="204"/>
      <c r="C243" s="210"/>
      <c r="D243" s="204"/>
      <c r="E243" s="204"/>
      <c r="F243" s="204"/>
      <c r="G243" s="204"/>
      <c r="H243" s="204"/>
      <c r="I243" s="73"/>
      <c r="J243" s="73"/>
      <c r="K243" s="73"/>
      <c r="L243" s="73"/>
      <c r="M243" s="73"/>
      <c r="N243" s="73"/>
      <c r="O243" s="73"/>
      <c r="P243" s="73"/>
      <c r="Q243" s="73"/>
      <c r="R243" s="73"/>
      <c r="S243" s="73"/>
      <c r="T243" s="73"/>
      <c r="U243" s="73"/>
      <c r="V243" s="73"/>
      <c r="W243" s="73"/>
      <c r="X243" s="73"/>
      <c r="Y243" s="73"/>
      <c r="Z243" s="73"/>
      <c r="AA243" s="73"/>
      <c r="AB243" s="73"/>
      <c r="AC243" s="24"/>
      <c r="AD243" s="24"/>
      <c r="AE243" s="24"/>
      <c r="AU243" s="2">
        <f>G160/H7</f>
        <v>98.574495379572141</v>
      </c>
    </row>
    <row r="244" spans="1:47" ht="15.9" x14ac:dyDescent="0.45">
      <c r="A244" s="204"/>
      <c r="B244" s="206"/>
      <c r="C244" s="206"/>
      <c r="D244" s="207"/>
      <c r="E244" s="207"/>
      <c r="F244" s="207"/>
      <c r="G244" s="207"/>
      <c r="H244" s="207"/>
      <c r="I244" s="74"/>
      <c r="J244" s="74"/>
      <c r="K244" s="74"/>
      <c r="L244" s="74"/>
      <c r="M244" s="74"/>
      <c r="N244" s="74"/>
      <c r="O244" s="74"/>
      <c r="P244" s="74"/>
      <c r="Q244" s="74"/>
      <c r="R244" s="74"/>
      <c r="S244" s="74"/>
      <c r="T244" s="74"/>
      <c r="U244" s="74"/>
      <c r="V244" s="74"/>
      <c r="W244" s="74"/>
      <c r="X244" s="74"/>
      <c r="Y244" s="74"/>
      <c r="Z244" s="74"/>
      <c r="AA244" s="73"/>
      <c r="AB244" s="73"/>
      <c r="AC244" s="23"/>
      <c r="AD244" s="24"/>
      <c r="AE244" s="24"/>
      <c r="AU244" s="11">
        <f>H76+H52</f>
        <v>948062.28999999992</v>
      </c>
    </row>
    <row r="245" spans="1:47" ht="15.9" x14ac:dyDescent="0.45">
      <c r="A245" s="204"/>
      <c r="B245" s="204"/>
      <c r="C245" s="208"/>
      <c r="D245" s="207"/>
      <c r="E245" s="207"/>
      <c r="F245" s="207"/>
      <c r="G245" s="207"/>
      <c r="H245" s="207"/>
      <c r="I245" s="73"/>
      <c r="J245" s="73"/>
      <c r="K245" s="73"/>
      <c r="L245" s="73"/>
      <c r="M245" s="73"/>
      <c r="N245" s="73"/>
      <c r="O245" s="73"/>
      <c r="P245" s="73"/>
      <c r="Q245" s="73"/>
      <c r="R245" s="73"/>
      <c r="S245" s="73"/>
      <c r="T245" s="73"/>
      <c r="U245" s="73"/>
      <c r="V245" s="73"/>
      <c r="W245" s="73"/>
      <c r="X245" s="73"/>
      <c r="Y245" s="73"/>
      <c r="Z245" s="73"/>
      <c r="AA245" s="74"/>
      <c r="AB245" s="74"/>
      <c r="AC245" s="24"/>
      <c r="AD245" s="24"/>
      <c r="AE245" s="24"/>
      <c r="AU245" s="2">
        <f ca="1">G161/C4</f>
        <v>6377.4289092762501</v>
      </c>
    </row>
    <row r="246" spans="1:47" ht="15.9" x14ac:dyDescent="0.45">
      <c r="A246" s="204"/>
      <c r="B246" s="204"/>
      <c r="C246" s="204"/>
      <c r="D246" s="207"/>
      <c r="E246" s="207"/>
      <c r="F246" s="207"/>
      <c r="G246" s="207"/>
      <c r="H246" s="207"/>
      <c r="I246" s="73"/>
      <c r="J246" s="73"/>
      <c r="K246" s="73"/>
      <c r="L246" s="73"/>
      <c r="M246" s="73"/>
      <c r="N246" s="73"/>
      <c r="O246" s="73"/>
      <c r="P246" s="73"/>
      <c r="Q246" s="73"/>
      <c r="R246" s="73"/>
      <c r="S246" s="73"/>
      <c r="T246" s="73"/>
      <c r="U246" s="73"/>
      <c r="V246" s="73"/>
      <c r="W246" s="73"/>
      <c r="X246" s="73"/>
      <c r="Y246" s="73"/>
      <c r="Z246" s="73"/>
      <c r="AA246" s="73"/>
      <c r="AB246" s="73"/>
      <c r="AC246" s="24"/>
      <c r="AD246" s="24"/>
      <c r="AE246" s="24"/>
      <c r="AU246" s="2">
        <f ca="1">G161/H7</f>
        <v>65.049254480581908</v>
      </c>
    </row>
    <row r="247" spans="1:47" ht="15.9" x14ac:dyDescent="0.45">
      <c r="A247" s="204"/>
      <c r="B247" s="204"/>
      <c r="C247" s="208"/>
      <c r="D247" s="207"/>
      <c r="E247" s="207"/>
      <c r="F247" s="207"/>
      <c r="G247" s="207"/>
      <c r="H247" s="207"/>
      <c r="I247" s="71"/>
      <c r="J247" s="71"/>
      <c r="K247" s="71"/>
      <c r="L247" s="71"/>
      <c r="M247" s="71"/>
      <c r="N247" s="71"/>
      <c r="O247" s="71"/>
      <c r="P247" s="71"/>
      <c r="Q247" s="71"/>
      <c r="R247" s="71"/>
      <c r="S247" s="71"/>
      <c r="T247" s="71"/>
      <c r="U247" s="71"/>
      <c r="V247" s="71"/>
      <c r="W247" s="71"/>
      <c r="X247" s="71"/>
      <c r="Y247" s="71"/>
      <c r="Z247" s="71"/>
      <c r="AA247" s="73"/>
      <c r="AB247" s="73"/>
      <c r="AC247" s="20"/>
      <c r="AD247" s="20"/>
      <c r="AE247" s="20"/>
      <c r="AU247" s="3">
        <f ca="1">H147</f>
        <v>625625.77600000007</v>
      </c>
    </row>
    <row r="248" spans="1:47" ht="15.9" x14ac:dyDescent="0.45">
      <c r="A248" s="204"/>
      <c r="B248" s="204"/>
      <c r="C248" s="206"/>
      <c r="D248" s="207"/>
      <c r="E248" s="207"/>
      <c r="F248" s="207"/>
      <c r="G248" s="207"/>
      <c r="H248" s="207"/>
      <c r="I248" s="73"/>
      <c r="J248" s="73"/>
      <c r="K248" s="73"/>
      <c r="L248" s="73"/>
      <c r="M248" s="73"/>
      <c r="N248" s="73"/>
      <c r="O248" s="73"/>
      <c r="P248" s="73"/>
      <c r="Q248" s="73"/>
      <c r="R248" s="73"/>
      <c r="S248" s="73"/>
      <c r="T248" s="73"/>
      <c r="U248" s="73"/>
      <c r="V248" s="73"/>
      <c r="W248" s="73"/>
      <c r="X248" s="73"/>
      <c r="Y248" s="73"/>
      <c r="Z248" s="73"/>
      <c r="AA248" s="71"/>
      <c r="AB248" s="71"/>
      <c r="AC248" s="23"/>
      <c r="AD248" s="20"/>
      <c r="AE248" s="20"/>
      <c r="AU248" s="2">
        <f ca="1">G163/C4</f>
        <v>3286.8146177370018</v>
      </c>
    </row>
    <row r="249" spans="1:47" ht="15.9" x14ac:dyDescent="0.45">
      <c r="A249" s="204"/>
      <c r="B249" s="206"/>
      <c r="C249" s="211"/>
      <c r="D249" s="207"/>
      <c r="E249" s="207"/>
      <c r="F249" s="207"/>
      <c r="G249" s="207"/>
      <c r="H249" s="207"/>
      <c r="I249" s="73"/>
      <c r="J249" s="73"/>
      <c r="K249" s="73"/>
      <c r="L249" s="73"/>
      <c r="M249" s="73"/>
      <c r="N249" s="73"/>
      <c r="O249" s="73"/>
      <c r="P249" s="73"/>
      <c r="Q249" s="73"/>
      <c r="R249" s="73"/>
      <c r="S249" s="73"/>
      <c r="T249" s="73"/>
      <c r="U249" s="73"/>
      <c r="V249" s="73"/>
      <c r="W249" s="73"/>
      <c r="X249" s="73"/>
      <c r="Y249" s="73"/>
      <c r="Z249" s="73"/>
      <c r="AA249" s="73"/>
      <c r="AB249" s="73"/>
      <c r="AC249" s="23"/>
      <c r="AD249" s="20"/>
      <c r="AE249" s="20"/>
      <c r="AU249" s="2">
        <f ca="1">G163/H7</f>
        <v>33.525240898990226</v>
      </c>
    </row>
    <row r="250" spans="1:47" ht="15.9" x14ac:dyDescent="0.45">
      <c r="A250" s="204"/>
      <c r="B250" s="206"/>
      <c r="C250" s="211"/>
      <c r="D250" s="207"/>
      <c r="E250" s="207"/>
      <c r="F250" s="207"/>
      <c r="G250" s="207"/>
      <c r="H250" s="207"/>
      <c r="I250" s="73"/>
      <c r="J250" s="73"/>
      <c r="K250" s="73"/>
      <c r="L250" s="73"/>
      <c r="M250" s="73"/>
      <c r="N250" s="73"/>
      <c r="O250" s="73"/>
      <c r="P250" s="73"/>
      <c r="Q250" s="73"/>
      <c r="R250" s="73"/>
      <c r="S250" s="73"/>
      <c r="T250" s="73"/>
      <c r="U250" s="73"/>
      <c r="V250" s="73"/>
      <c r="W250" s="73"/>
      <c r="X250" s="73"/>
      <c r="Y250" s="73"/>
      <c r="Z250" s="73"/>
      <c r="AA250" s="73"/>
      <c r="AB250" s="73"/>
      <c r="AC250" s="23"/>
      <c r="AD250" s="20"/>
      <c r="AE250" s="20"/>
      <c r="AU250" s="3">
        <f ca="1">G160-G161</f>
        <v>322436.51399999985</v>
      </c>
    </row>
    <row r="251" spans="1:47" ht="15.9" x14ac:dyDescent="0.45">
      <c r="A251" s="204"/>
      <c r="B251" s="206"/>
      <c r="C251" s="211"/>
      <c r="D251" s="207"/>
      <c r="E251" s="207"/>
      <c r="F251" s="207"/>
      <c r="G251" s="207"/>
      <c r="H251" s="207"/>
      <c r="I251" s="73"/>
      <c r="J251" s="73"/>
      <c r="K251" s="73"/>
      <c r="L251" s="73"/>
      <c r="M251" s="73"/>
      <c r="N251" s="73"/>
      <c r="O251" s="73"/>
      <c r="P251" s="73"/>
      <c r="Q251" s="73"/>
      <c r="R251" s="73"/>
      <c r="S251" s="73"/>
      <c r="T251" s="73"/>
      <c r="U251" s="73"/>
      <c r="V251" s="73"/>
      <c r="W251" s="73"/>
      <c r="X251" s="73"/>
      <c r="Y251" s="73"/>
      <c r="Z251" s="73"/>
      <c r="AA251" s="73"/>
      <c r="AB251" s="73"/>
      <c r="AC251" s="23"/>
      <c r="AD251" s="20"/>
      <c r="AE251" s="20"/>
      <c r="AU251" s="2">
        <f ca="1">G164/C4</f>
        <v>1980.9999999999998</v>
      </c>
    </row>
    <row r="252" spans="1:47" ht="15.9" x14ac:dyDescent="0.45">
      <c r="A252" s="204"/>
      <c r="B252" s="204"/>
      <c r="C252" s="211"/>
      <c r="D252" s="212"/>
      <c r="E252" s="212"/>
      <c r="F252" s="212"/>
      <c r="G252" s="212"/>
      <c r="H252" s="212"/>
      <c r="I252" s="73"/>
      <c r="J252" s="73"/>
      <c r="K252" s="73"/>
      <c r="L252" s="73"/>
      <c r="M252" s="73"/>
      <c r="N252" s="73"/>
      <c r="O252" s="73"/>
      <c r="P252" s="73"/>
      <c r="Q252" s="73"/>
      <c r="R252" s="73"/>
      <c r="S252" s="73"/>
      <c r="T252" s="73"/>
      <c r="U252" s="73"/>
      <c r="V252" s="73"/>
      <c r="W252" s="73"/>
      <c r="X252" s="73"/>
      <c r="Y252" s="73"/>
      <c r="Z252" s="73"/>
      <c r="AA252" s="73"/>
      <c r="AB252" s="73"/>
      <c r="AC252" s="23"/>
      <c r="AD252" s="20"/>
      <c r="AE252" s="20"/>
      <c r="AU252" s="2">
        <f ca="1">G164/H7</f>
        <v>20.206038351693188</v>
      </c>
    </row>
    <row r="253" spans="1:47" ht="15.9" x14ac:dyDescent="0.45">
      <c r="A253" s="204"/>
      <c r="B253" s="204"/>
      <c r="C253" s="211"/>
      <c r="D253" s="207"/>
      <c r="E253" s="212"/>
      <c r="F253" s="212"/>
      <c r="G253" s="212"/>
      <c r="H253" s="207"/>
      <c r="I253" s="73"/>
      <c r="J253" s="73"/>
      <c r="K253" s="73"/>
      <c r="L253" s="73"/>
      <c r="M253" s="73"/>
      <c r="N253" s="73"/>
      <c r="O253" s="73"/>
      <c r="P253" s="73"/>
      <c r="Q253" s="73"/>
      <c r="R253" s="73"/>
      <c r="S253" s="73"/>
      <c r="T253" s="73"/>
      <c r="U253" s="73"/>
      <c r="V253" s="73"/>
      <c r="W253" s="73"/>
      <c r="X253" s="73"/>
      <c r="Y253" s="73"/>
      <c r="Z253" s="73"/>
      <c r="AA253" s="73"/>
      <c r="AB253" s="73"/>
      <c r="AC253" s="20"/>
      <c r="AD253" s="20"/>
      <c r="AE253" s="20"/>
      <c r="AU253" s="3">
        <f ca="1">H156</f>
        <v>194336.09999999998</v>
      </c>
    </row>
    <row r="254" spans="1:47" ht="15.9" x14ac:dyDescent="0.45">
      <c r="A254" s="204"/>
      <c r="B254" s="204"/>
      <c r="C254" s="206"/>
      <c r="D254" s="207"/>
      <c r="E254" s="206"/>
      <c r="F254" s="207"/>
      <c r="G254" s="207"/>
      <c r="H254" s="207"/>
      <c r="I254" s="73"/>
      <c r="J254" s="73"/>
      <c r="K254" s="73"/>
      <c r="L254" s="73"/>
      <c r="M254" s="73"/>
      <c r="N254" s="73"/>
      <c r="O254" s="73"/>
      <c r="P254" s="73"/>
      <c r="Q254" s="73"/>
      <c r="R254" s="73"/>
      <c r="S254" s="73"/>
      <c r="T254" s="73"/>
      <c r="U254" s="73"/>
      <c r="V254" s="73"/>
      <c r="W254" s="73"/>
      <c r="X254" s="73"/>
      <c r="Y254" s="73"/>
      <c r="Z254" s="73"/>
      <c r="AA254" s="73"/>
      <c r="AB254" s="73"/>
      <c r="AC254" s="23"/>
      <c r="AD254" s="20"/>
      <c r="AE254" s="20"/>
      <c r="AU254" s="2">
        <f ca="1">G166/C4</f>
        <v>1305.8146177370018</v>
      </c>
    </row>
    <row r="255" spans="1:47" ht="15.9" x14ac:dyDescent="0.45">
      <c r="A255" s="204"/>
      <c r="B255" s="206"/>
      <c r="C255" s="211"/>
      <c r="D255" s="204"/>
      <c r="E255" s="204"/>
      <c r="F255" s="204"/>
      <c r="G255" s="204"/>
      <c r="H255" s="204"/>
      <c r="I255" s="73"/>
      <c r="J255" s="73"/>
      <c r="K255" s="73"/>
      <c r="L255" s="73"/>
      <c r="M255" s="73"/>
      <c r="N255" s="73"/>
      <c r="O255" s="73"/>
      <c r="P255" s="73"/>
      <c r="Q255" s="73"/>
      <c r="R255" s="73"/>
      <c r="S255" s="73"/>
      <c r="T255" s="73"/>
      <c r="U255" s="73"/>
      <c r="V255" s="73"/>
      <c r="W255" s="73"/>
      <c r="X255" s="73"/>
      <c r="Y255" s="73"/>
      <c r="Z255" s="73"/>
      <c r="AA255" s="73"/>
      <c r="AB255" s="73"/>
      <c r="AC255" s="23"/>
      <c r="AD255" s="20"/>
      <c r="AE255" s="20"/>
      <c r="AU255" s="2">
        <f ca="1">G166/H7</f>
        <v>13.319202547297042</v>
      </c>
    </row>
    <row r="256" spans="1:47" ht="15.9" x14ac:dyDescent="0.45">
      <c r="A256" s="204"/>
      <c r="B256" s="206"/>
      <c r="C256" s="211"/>
      <c r="D256" s="207"/>
      <c r="E256" s="207"/>
      <c r="F256" s="207"/>
      <c r="G256" s="207"/>
      <c r="H256" s="207"/>
      <c r="I256" s="74"/>
      <c r="J256" s="74"/>
      <c r="K256" s="74"/>
      <c r="L256" s="74"/>
      <c r="M256" s="74"/>
      <c r="N256" s="74"/>
      <c r="O256" s="74"/>
      <c r="P256" s="74"/>
      <c r="Q256" s="74"/>
      <c r="R256" s="74"/>
      <c r="S256" s="74"/>
      <c r="T256" s="74"/>
      <c r="U256" s="74"/>
      <c r="V256" s="74"/>
      <c r="W256" s="74"/>
      <c r="X256" s="74"/>
      <c r="Y256" s="74"/>
      <c r="Z256" s="74"/>
      <c r="AA256" s="73"/>
      <c r="AB256" s="73"/>
      <c r="AC256" s="23"/>
      <c r="AD256" s="20"/>
      <c r="AE256" s="20"/>
      <c r="AU256" s="3">
        <f ca="1">G163-G164</f>
        <v>128100.41399999987</v>
      </c>
    </row>
    <row r="257" spans="1:47" ht="15.9" x14ac:dyDescent="0.45">
      <c r="A257" s="204"/>
      <c r="B257" s="206"/>
      <c r="C257" s="211"/>
      <c r="D257" s="207"/>
      <c r="E257" s="207"/>
      <c r="F257" s="207"/>
      <c r="G257" s="207"/>
      <c r="H257" s="207"/>
      <c r="I257" s="73"/>
      <c r="J257" s="73"/>
      <c r="K257" s="73"/>
      <c r="L257" s="73"/>
      <c r="M257" s="73"/>
      <c r="N257" s="73"/>
      <c r="O257" s="73"/>
      <c r="P257" s="73"/>
      <c r="Q257" s="73"/>
      <c r="R257" s="73"/>
      <c r="S257" s="73"/>
      <c r="T257" s="73"/>
      <c r="U257" s="73"/>
      <c r="V257" s="73"/>
      <c r="W257" s="73"/>
      <c r="X257" s="73"/>
      <c r="Y257" s="73"/>
      <c r="Z257" s="73"/>
      <c r="AA257" s="74"/>
      <c r="AB257" s="74"/>
      <c r="AC257" s="20"/>
      <c r="AD257" s="20"/>
      <c r="AE257" s="20"/>
      <c r="AU257" s="2">
        <f ca="1">G172*G161/(G161+G164)</f>
        <v>62.572007508620494</v>
      </c>
    </row>
    <row r="258" spans="1:47" ht="15.9" x14ac:dyDescent="0.45">
      <c r="A258" s="204"/>
      <c r="B258" s="204"/>
      <c r="C258" s="204"/>
      <c r="D258" s="207"/>
      <c r="E258" s="207"/>
      <c r="F258" s="207"/>
      <c r="G258" s="207"/>
      <c r="H258" s="207"/>
      <c r="I258" s="73"/>
      <c r="J258" s="73"/>
      <c r="K258" s="73"/>
      <c r="L258" s="73"/>
      <c r="M258" s="73"/>
      <c r="N258" s="73"/>
      <c r="O258" s="73"/>
      <c r="P258" s="73"/>
      <c r="Q258" s="73"/>
      <c r="R258" s="73"/>
      <c r="S258" s="73"/>
      <c r="T258" s="73"/>
      <c r="U258" s="73"/>
      <c r="V258" s="73"/>
      <c r="W258" s="73"/>
      <c r="X258" s="73"/>
      <c r="Y258" s="73"/>
      <c r="Z258" s="73"/>
      <c r="AA258" s="73"/>
      <c r="AB258" s="73"/>
      <c r="AC258" s="20"/>
      <c r="AD258" s="20"/>
      <c r="AE258" s="20"/>
      <c r="AU258" s="2">
        <f ca="1">H172*G161/(G161+G164)</f>
        <v>14.622474992472815</v>
      </c>
    </row>
    <row r="259" spans="1:47" ht="15.9" x14ac:dyDescent="0.45">
      <c r="A259" s="204"/>
      <c r="B259" s="204"/>
      <c r="C259" s="204"/>
      <c r="D259" s="207"/>
      <c r="E259" s="207"/>
      <c r="F259" s="207"/>
      <c r="G259" s="207"/>
      <c r="H259" s="207"/>
      <c r="I259" s="71"/>
      <c r="J259" s="71"/>
      <c r="K259" s="71"/>
      <c r="L259" s="71"/>
      <c r="M259" s="71"/>
      <c r="N259" s="71"/>
      <c r="O259" s="71"/>
      <c r="P259" s="71"/>
      <c r="Q259" s="71"/>
      <c r="R259" s="71"/>
      <c r="S259" s="71"/>
      <c r="T259" s="71"/>
      <c r="U259" s="71"/>
      <c r="V259" s="71"/>
      <c r="W259" s="71"/>
      <c r="X259" s="71"/>
      <c r="Y259" s="71"/>
      <c r="Z259" s="71"/>
      <c r="AA259" s="73"/>
      <c r="AB259" s="73"/>
      <c r="AC259" s="20"/>
      <c r="AD259" s="20"/>
      <c r="AE259" s="20"/>
      <c r="AU259" s="2">
        <f ca="1">G172*G164/(G161+G164)</f>
        <v>19.43653918184474</v>
      </c>
    </row>
    <row r="260" spans="1:47" ht="15.9" x14ac:dyDescent="0.45">
      <c r="A260" s="204"/>
      <c r="B260" s="204"/>
      <c r="C260" s="204"/>
      <c r="D260" s="207"/>
      <c r="E260" s="207"/>
      <c r="F260" s="207"/>
      <c r="G260" s="207"/>
      <c r="H260" s="207"/>
      <c r="I260" s="73"/>
      <c r="J260" s="73"/>
      <c r="K260" s="73"/>
      <c r="L260" s="73"/>
      <c r="M260" s="73"/>
      <c r="N260" s="73"/>
      <c r="O260" s="73"/>
      <c r="P260" s="73"/>
      <c r="Q260" s="73"/>
      <c r="R260" s="73"/>
      <c r="S260" s="73"/>
      <c r="T260" s="73"/>
      <c r="U260" s="73"/>
      <c r="V260" s="73"/>
      <c r="W260" s="73"/>
      <c r="X260" s="73"/>
      <c r="Y260" s="73"/>
      <c r="Z260" s="73"/>
      <c r="AA260" s="71"/>
      <c r="AB260" s="71"/>
      <c r="AC260" s="21"/>
      <c r="AD260" s="20"/>
      <c r="AE260" s="22"/>
      <c r="AU260" s="2">
        <f ca="1">H172*G164/(G161+G164)</f>
        <v>4.5421318484561537</v>
      </c>
    </row>
    <row r="261" spans="1:47" ht="15.9" x14ac:dyDescent="0.45">
      <c r="A261" s="204"/>
      <c r="B261" s="204"/>
      <c r="C261" s="206"/>
      <c r="D261" s="207"/>
      <c r="E261" s="207"/>
      <c r="F261" s="207"/>
      <c r="G261" s="207"/>
      <c r="H261" s="207"/>
      <c r="I261" s="73"/>
      <c r="J261" s="73"/>
      <c r="K261" s="73"/>
      <c r="L261" s="73"/>
      <c r="M261" s="73"/>
      <c r="N261" s="73"/>
      <c r="O261" s="73"/>
      <c r="P261" s="73"/>
      <c r="Q261" s="73"/>
      <c r="R261" s="73"/>
      <c r="S261" s="73"/>
      <c r="T261" s="73"/>
      <c r="U261" s="73"/>
      <c r="V261" s="73"/>
      <c r="W261" s="73"/>
      <c r="X261" s="73"/>
      <c r="Y261" s="73"/>
      <c r="Z261" s="73"/>
      <c r="AA261" s="73"/>
      <c r="AB261" s="73"/>
      <c r="AC261" s="21"/>
      <c r="AD261" s="20"/>
      <c r="AE261" s="22"/>
      <c r="AU261" s="2">
        <f ca="1">F166/E166</f>
        <v>1.0199918400652796E-2</v>
      </c>
    </row>
    <row r="262" spans="1:47" ht="15.9" x14ac:dyDescent="0.45">
      <c r="A262" s="204"/>
      <c r="B262" s="204"/>
      <c r="C262" s="206"/>
      <c r="D262" s="207"/>
      <c r="E262" s="207"/>
      <c r="F262" s="207"/>
      <c r="G262" s="207"/>
      <c r="H262" s="207"/>
      <c r="I262" s="73"/>
      <c r="J262" s="73"/>
      <c r="K262" s="73"/>
      <c r="L262" s="73"/>
      <c r="M262" s="73"/>
      <c r="N262" s="73"/>
      <c r="O262" s="73"/>
      <c r="P262" s="73"/>
      <c r="Q262" s="73"/>
      <c r="R262" s="73"/>
      <c r="S262" s="73"/>
      <c r="T262" s="73"/>
      <c r="U262" s="73"/>
      <c r="V262" s="73"/>
      <c r="W262" s="73"/>
      <c r="X262" s="73"/>
      <c r="Y262" s="73"/>
      <c r="Z262" s="73"/>
      <c r="AA262" s="73"/>
      <c r="AB262" s="73"/>
      <c r="AC262" s="21"/>
      <c r="AD262" s="20"/>
      <c r="AE262" s="22"/>
      <c r="AU262" s="2">
        <f ca="1">((G161+G164-H76)/H52)*(H52/H6)</f>
        <v>82.008546690465238</v>
      </c>
    </row>
    <row r="263" spans="1:47" ht="15.9" x14ac:dyDescent="0.45">
      <c r="A263" s="204"/>
      <c r="B263" s="204"/>
      <c r="C263" s="206"/>
      <c r="D263" s="207"/>
      <c r="E263" s="207"/>
      <c r="F263" s="207"/>
      <c r="G263" s="207"/>
      <c r="H263" s="207"/>
      <c r="I263" s="73"/>
      <c r="J263" s="73"/>
      <c r="K263" s="73"/>
      <c r="L263" s="73"/>
      <c r="M263" s="73"/>
      <c r="N263" s="73"/>
      <c r="O263" s="73"/>
      <c r="P263" s="73"/>
      <c r="Q263" s="73"/>
      <c r="R263" s="73"/>
      <c r="S263" s="73"/>
      <c r="T263" s="73"/>
      <c r="U263" s="73"/>
      <c r="V263" s="73"/>
      <c r="W263" s="73"/>
      <c r="X263" s="73"/>
      <c r="Y263" s="73"/>
      <c r="Z263" s="73"/>
      <c r="AA263" s="73"/>
      <c r="AB263" s="73"/>
      <c r="AC263" s="21"/>
      <c r="AD263" s="20"/>
      <c r="AE263" s="22"/>
      <c r="AU263" s="2">
        <f ca="1">((G161+G164-H76)/H52)*AE136</f>
        <v>19.164606840928968</v>
      </c>
    </row>
    <row r="264" spans="1:47" ht="15.9" x14ac:dyDescent="0.45">
      <c r="A264" s="204"/>
      <c r="B264" s="204"/>
      <c r="C264" s="207"/>
      <c r="D264" s="212"/>
      <c r="E264" s="212"/>
      <c r="F264" s="212"/>
      <c r="G264" s="212"/>
      <c r="H264" s="212"/>
      <c r="I264" s="73"/>
      <c r="J264" s="73"/>
      <c r="K264" s="73"/>
      <c r="L264" s="73"/>
      <c r="M264" s="73"/>
      <c r="N264" s="73"/>
      <c r="O264" s="73"/>
      <c r="P264" s="73"/>
      <c r="Q264" s="73"/>
      <c r="R264" s="73"/>
      <c r="S264" s="73"/>
      <c r="T264" s="73"/>
      <c r="U264" s="73"/>
      <c r="V264" s="73"/>
      <c r="W264" s="73"/>
      <c r="X264" s="73"/>
      <c r="Y264" s="73"/>
      <c r="Z264" s="73"/>
      <c r="AA264" s="73"/>
      <c r="AB264" s="73"/>
      <c r="AC264" s="21"/>
      <c r="AD264" s="20"/>
      <c r="AE264" s="22"/>
      <c r="AU264" s="3">
        <f ca="1">E166</f>
        <v>1305.8146177370018</v>
      </c>
    </row>
    <row r="265" spans="1:47" ht="15.9" x14ac:dyDescent="0.45">
      <c r="A265" s="204"/>
      <c r="B265" s="204"/>
      <c r="C265" s="206"/>
      <c r="D265" s="207"/>
      <c r="E265" s="207"/>
      <c r="F265" s="207"/>
      <c r="G265" s="207"/>
      <c r="H265" s="207"/>
      <c r="I265" s="73"/>
      <c r="J265" s="73"/>
      <c r="K265" s="73"/>
      <c r="L265" s="73"/>
      <c r="M265" s="73"/>
      <c r="N265" s="73"/>
      <c r="O265" s="73"/>
      <c r="P265" s="73"/>
      <c r="Q265" s="73"/>
      <c r="R265" s="73"/>
      <c r="S265" s="73"/>
      <c r="T265" s="73"/>
      <c r="U265" s="73"/>
      <c r="V265" s="73"/>
      <c r="W265" s="73"/>
      <c r="X265" s="73"/>
      <c r="Y265" s="73"/>
      <c r="Z265" s="73"/>
      <c r="AA265" s="73"/>
      <c r="AB265" s="73"/>
      <c r="AC265" s="20"/>
      <c r="AD265" s="20"/>
      <c r="AE265" s="20"/>
      <c r="AU265" s="2">
        <f ca="1">((G161+G164-H76)/H55)*AD136</f>
        <v>0</v>
      </c>
    </row>
    <row r="266" spans="1:47" ht="15.9" x14ac:dyDescent="0.45">
      <c r="A266" s="204"/>
      <c r="B266" s="204"/>
      <c r="C266" s="206"/>
      <c r="D266" s="207"/>
      <c r="E266" s="206"/>
      <c r="F266" s="207"/>
      <c r="G266" s="207"/>
      <c r="H266" s="207"/>
      <c r="I266" s="73"/>
      <c r="J266" s="73"/>
      <c r="K266" s="73"/>
      <c r="L266" s="73"/>
      <c r="M266" s="73"/>
      <c r="N266" s="73"/>
      <c r="O266" s="73"/>
      <c r="P266" s="73"/>
      <c r="Q266" s="73"/>
      <c r="R266" s="73"/>
      <c r="S266" s="73"/>
      <c r="T266" s="73"/>
      <c r="U266" s="73"/>
      <c r="V266" s="73"/>
      <c r="W266" s="73"/>
      <c r="X266" s="73"/>
      <c r="Y266" s="73"/>
      <c r="Z266" s="73"/>
      <c r="AA266" s="73"/>
      <c r="AB266" s="73"/>
      <c r="AC266" s="20"/>
      <c r="AD266" s="20"/>
      <c r="AE266" s="20"/>
      <c r="AU266" s="2">
        <f>C4^2*((H30-D30)/200)^2*F31^2*G39^2*((F32/100)*(1-(G45/G39))+G45)^2</f>
        <v>8546658381.6650267</v>
      </c>
    </row>
    <row r="267" spans="1:47" ht="15.9" x14ac:dyDescent="0.45">
      <c r="A267" s="204"/>
      <c r="B267" s="204"/>
      <c r="C267" s="206"/>
      <c r="D267" s="204"/>
      <c r="E267" s="204"/>
      <c r="F267" s="204"/>
      <c r="G267" s="204"/>
      <c r="H267" s="204"/>
      <c r="I267" s="73"/>
      <c r="J267" s="73"/>
      <c r="K267" s="73"/>
      <c r="L267" s="73"/>
      <c r="M267" s="73"/>
      <c r="N267" s="73"/>
      <c r="O267" s="73"/>
      <c r="P267" s="73"/>
      <c r="Q267" s="73"/>
      <c r="R267" s="73"/>
      <c r="S267" s="73"/>
      <c r="T267" s="73"/>
      <c r="U267" s="73"/>
      <c r="V267" s="73"/>
      <c r="W267" s="73"/>
      <c r="X267" s="73"/>
      <c r="Y267" s="73"/>
      <c r="Z267" s="73"/>
      <c r="AA267" s="73"/>
      <c r="AB267" s="73"/>
      <c r="AC267" s="21"/>
      <c r="AD267" s="22"/>
      <c r="AE267" s="22"/>
      <c r="AU267" s="2">
        <f ca="1">IF(AC162&gt;0,1-AC173,AC173)</f>
        <v>0.91487492511411883</v>
      </c>
    </row>
    <row r="268" spans="1:47" ht="15.9" x14ac:dyDescent="0.45">
      <c r="A268" s="204"/>
      <c r="B268" s="204"/>
      <c r="C268" s="206"/>
      <c r="D268" s="207"/>
      <c r="E268" s="207"/>
      <c r="F268" s="207"/>
      <c r="G268" s="207"/>
      <c r="H268" s="207"/>
      <c r="I268" s="74"/>
      <c r="J268" s="74"/>
      <c r="K268" s="74"/>
      <c r="L268" s="74"/>
      <c r="M268" s="74"/>
      <c r="N268" s="74"/>
      <c r="O268" s="74"/>
      <c r="P268" s="74"/>
      <c r="Q268" s="74"/>
      <c r="R268" s="74"/>
      <c r="S268" s="74"/>
      <c r="T268" s="74"/>
      <c r="U268" s="74"/>
      <c r="V268" s="74"/>
      <c r="W268" s="74"/>
      <c r="X268" s="74"/>
      <c r="Y268" s="74"/>
      <c r="Z268" s="74"/>
      <c r="AA268" s="73"/>
      <c r="AB268" s="73"/>
      <c r="AC268" s="20"/>
      <c r="AD268" s="20"/>
      <c r="AE268" s="20"/>
      <c r="AU268" s="2">
        <f>(H31/2-D31/2)^2*C4^2*(F30/100)^2*G39^2*((F32/100)*(1-G45/G39)+G45)^2</f>
        <v>58799400.232056044</v>
      </c>
    </row>
    <row r="269" spans="1:47" ht="15.9" x14ac:dyDescent="0.45">
      <c r="A269" s="204"/>
      <c r="B269" s="204"/>
      <c r="C269" s="206"/>
      <c r="D269" s="207"/>
      <c r="E269" s="207"/>
      <c r="F269" s="207"/>
      <c r="G269" s="207"/>
      <c r="H269" s="207"/>
      <c r="I269" s="71"/>
      <c r="J269" s="71"/>
      <c r="K269" s="71"/>
      <c r="L269" s="71"/>
      <c r="M269" s="71"/>
      <c r="N269" s="71"/>
      <c r="O269" s="71"/>
      <c r="P269" s="71"/>
      <c r="Q269" s="71"/>
      <c r="R269" s="71"/>
      <c r="S269" s="71"/>
      <c r="T269" s="71"/>
      <c r="U269" s="71"/>
      <c r="V269" s="71"/>
      <c r="W269" s="71"/>
      <c r="X269" s="71"/>
      <c r="Y269" s="71"/>
      <c r="Z269" s="71"/>
      <c r="AA269" s="74"/>
      <c r="AB269" s="74"/>
      <c r="AC269" s="23"/>
      <c r="AD269" s="20"/>
      <c r="AE269" s="20"/>
      <c r="AU269" s="2">
        <f ca="1">IF(AC162-D176&gt;0,1-AD170,AD170)</f>
        <v>0.62596087667979528</v>
      </c>
    </row>
    <row r="270" spans="1:47" ht="15.9" x14ac:dyDescent="0.45">
      <c r="A270" s="204"/>
      <c r="B270" s="204"/>
      <c r="C270" s="204"/>
      <c r="D270" s="207"/>
      <c r="E270" s="207"/>
      <c r="F270" s="207"/>
      <c r="G270" s="207"/>
      <c r="H270" s="207"/>
      <c r="I270" s="71"/>
      <c r="J270" s="71"/>
      <c r="K270" s="71"/>
      <c r="L270" s="71"/>
      <c r="M270" s="71"/>
      <c r="N270" s="71"/>
      <c r="O270" s="71"/>
      <c r="P270" s="71"/>
      <c r="Q270" s="71"/>
      <c r="R270" s="71"/>
      <c r="S270" s="71"/>
      <c r="T270" s="71"/>
      <c r="U270" s="71"/>
      <c r="V270" s="71"/>
      <c r="W270" s="71"/>
      <c r="X270" s="71"/>
      <c r="Y270" s="71"/>
      <c r="Z270" s="71"/>
      <c r="AA270" s="71"/>
      <c r="AB270" s="71"/>
      <c r="AC270" s="20"/>
      <c r="AD270" s="20"/>
      <c r="AE270" s="20"/>
      <c r="AU270" s="2">
        <f>(H32/200-D32/200)^2*C4^2*(F30/100)^2*F31^2*G39^2</f>
        <v>119678992.57898839</v>
      </c>
    </row>
    <row r="271" spans="1:47" ht="15.9" x14ac:dyDescent="0.45">
      <c r="A271" s="204"/>
      <c r="B271" s="204"/>
      <c r="C271" s="208"/>
      <c r="D271" s="207"/>
      <c r="E271" s="207"/>
      <c r="F271" s="207"/>
      <c r="G271" s="207"/>
      <c r="H271" s="207"/>
      <c r="I271" s="71"/>
      <c r="J271" s="71"/>
      <c r="K271" s="71"/>
      <c r="L271" s="71"/>
      <c r="M271" s="71"/>
      <c r="N271" s="71"/>
      <c r="O271" s="71"/>
      <c r="P271" s="71"/>
      <c r="Q271" s="71"/>
      <c r="R271" s="71"/>
      <c r="S271" s="71"/>
      <c r="T271" s="71"/>
      <c r="U271" s="71"/>
      <c r="V271" s="71"/>
      <c r="W271" s="71"/>
      <c r="X271" s="71"/>
      <c r="Y271" s="71"/>
      <c r="Z271" s="71"/>
      <c r="AA271" s="71"/>
      <c r="AB271" s="71"/>
      <c r="AC271" s="20"/>
      <c r="AD271" s="20"/>
      <c r="AE271" s="20"/>
      <c r="AU271" s="2">
        <f ca="1">AC161*D176</f>
        <v>10.199918400652797</v>
      </c>
    </row>
    <row r="272" spans="1:47" ht="15.9" x14ac:dyDescent="0.45">
      <c r="A272" s="204"/>
      <c r="B272" s="204"/>
      <c r="C272" s="204"/>
      <c r="D272" s="207"/>
      <c r="E272" s="207"/>
      <c r="F272" s="207"/>
      <c r="G272" s="207"/>
      <c r="H272" s="207"/>
      <c r="I272" s="73"/>
      <c r="J272" s="73"/>
      <c r="K272" s="73"/>
      <c r="L272" s="73"/>
      <c r="M272" s="73"/>
      <c r="N272" s="73"/>
      <c r="O272" s="73"/>
      <c r="P272" s="73"/>
      <c r="Q272" s="73"/>
      <c r="R272" s="73"/>
      <c r="S272" s="73"/>
      <c r="T272" s="73"/>
      <c r="U272" s="73"/>
      <c r="V272" s="73"/>
      <c r="W272" s="73"/>
      <c r="X272" s="73"/>
      <c r="Y272" s="73"/>
      <c r="Z272" s="73"/>
      <c r="AA272" s="71"/>
      <c r="AB272" s="71"/>
      <c r="AC272" s="20"/>
      <c r="AD272" s="20"/>
      <c r="AE272" s="20"/>
      <c r="AU272" s="2">
        <f>SQRT(AC165+AC166+AC164)</f>
        <v>93408.440595462627</v>
      </c>
    </row>
    <row r="273" spans="1:47" ht="15.9" x14ac:dyDescent="0.45">
      <c r="A273" s="204"/>
      <c r="B273" s="204"/>
      <c r="C273" s="204"/>
      <c r="D273" s="207"/>
      <c r="E273" s="207"/>
      <c r="F273" s="207"/>
      <c r="G273" s="207"/>
      <c r="H273" s="207"/>
      <c r="I273" s="73"/>
      <c r="J273" s="73"/>
      <c r="K273" s="73"/>
      <c r="L273" s="73"/>
      <c r="M273" s="73"/>
      <c r="N273" s="73"/>
      <c r="O273" s="73"/>
      <c r="P273" s="73"/>
      <c r="Q273" s="73"/>
      <c r="R273" s="73"/>
      <c r="S273" s="73"/>
      <c r="T273" s="73"/>
      <c r="U273" s="73"/>
      <c r="V273" s="73"/>
      <c r="W273" s="73"/>
      <c r="X273" s="73"/>
      <c r="Y273" s="73"/>
      <c r="Z273" s="73"/>
      <c r="AA273" s="73"/>
      <c r="AB273" s="73"/>
      <c r="AC273" s="20"/>
      <c r="AD273" s="20"/>
      <c r="AE273" s="20"/>
      <c r="AU273" s="2">
        <f ca="1">ABS((AC162-D176)/AC168)</f>
        <v>0.3211745513441015</v>
      </c>
    </row>
    <row r="274" spans="1:47" ht="15.9" x14ac:dyDescent="0.45">
      <c r="A274" s="204"/>
      <c r="B274" s="204"/>
      <c r="C274" s="204"/>
      <c r="D274" s="207"/>
      <c r="E274" s="207"/>
      <c r="F274" s="207"/>
      <c r="G274" s="207"/>
      <c r="H274" s="207"/>
      <c r="I274" s="74"/>
      <c r="J274" s="74"/>
      <c r="K274" s="74"/>
      <c r="L274" s="74"/>
      <c r="M274" s="74"/>
      <c r="N274" s="74"/>
      <c r="O274" s="74"/>
      <c r="P274" s="74"/>
      <c r="Q274" s="74"/>
      <c r="R274" s="74"/>
      <c r="S274" s="74"/>
      <c r="T274" s="74"/>
      <c r="U274" s="74"/>
      <c r="V274" s="74"/>
      <c r="W274" s="74"/>
      <c r="X274" s="74"/>
      <c r="Y274" s="74"/>
      <c r="Z274" s="74"/>
      <c r="AA274" s="73"/>
      <c r="AB274" s="73"/>
      <c r="AC274" s="20"/>
      <c r="AD274" s="20"/>
      <c r="AE274" s="20"/>
      <c r="AU274" s="2">
        <f>AC167/G160</f>
        <v>9.8525636533294284E-2</v>
      </c>
    </row>
    <row r="275" spans="1:47" ht="15.9" x14ac:dyDescent="0.45">
      <c r="A275" s="204"/>
      <c r="B275" s="204"/>
      <c r="C275" s="204"/>
      <c r="D275" s="207"/>
      <c r="E275" s="207"/>
      <c r="F275" s="207"/>
      <c r="G275" s="207"/>
      <c r="H275" s="207"/>
      <c r="I275" s="73"/>
      <c r="J275" s="73"/>
      <c r="K275" s="73"/>
      <c r="L275" s="73"/>
      <c r="M275" s="73"/>
      <c r="N275" s="73"/>
      <c r="O275" s="73"/>
      <c r="P275" s="73"/>
      <c r="Q275" s="73"/>
      <c r="R275" s="73"/>
      <c r="S275" s="73"/>
      <c r="T275" s="73"/>
      <c r="U275" s="73"/>
      <c r="V275" s="73"/>
      <c r="W275" s="73"/>
      <c r="X275" s="73"/>
      <c r="Y275" s="73"/>
      <c r="Z275" s="73"/>
      <c r="AA275" s="74"/>
      <c r="AB275" s="74"/>
      <c r="AC275" s="21"/>
      <c r="AD275" s="20"/>
      <c r="AE275" s="22"/>
      <c r="AU275" s="2">
        <f>AC167/C4</f>
        <v>952.17574511174962</v>
      </c>
    </row>
    <row r="276" spans="1:47" ht="15.9" x14ac:dyDescent="0.45">
      <c r="A276" s="204"/>
      <c r="B276" s="204"/>
      <c r="C276" s="206"/>
      <c r="D276" s="212"/>
      <c r="E276" s="212"/>
      <c r="F276" s="212"/>
      <c r="G276" s="212"/>
      <c r="H276" s="212"/>
      <c r="I276" s="71"/>
      <c r="J276" s="71"/>
      <c r="K276" s="71"/>
      <c r="L276" s="71"/>
      <c r="M276" s="71"/>
      <c r="N276" s="71"/>
      <c r="O276" s="71"/>
      <c r="P276" s="71"/>
      <c r="Q276" s="71"/>
      <c r="R276" s="71"/>
      <c r="S276" s="71"/>
      <c r="T276" s="71"/>
      <c r="U276" s="71"/>
      <c r="V276" s="71"/>
      <c r="W276" s="71"/>
      <c r="X276" s="71"/>
      <c r="Y276" s="71"/>
      <c r="Z276" s="71"/>
      <c r="AA276" s="73"/>
      <c r="AB276" s="73"/>
      <c r="AC276" s="21"/>
      <c r="AD276" s="20"/>
      <c r="AE276" s="22"/>
      <c r="AU276" s="2">
        <f ca="1">1/(1+(0.2316419*AD167))</f>
        <v>0.93075422787091955</v>
      </c>
    </row>
    <row r="277" spans="1:47" ht="15.9" x14ac:dyDescent="0.45">
      <c r="A277" s="204"/>
      <c r="B277" s="204"/>
      <c r="C277" s="204"/>
      <c r="D277" s="204"/>
      <c r="E277" s="204"/>
      <c r="F277" s="204"/>
      <c r="G277" s="204"/>
      <c r="H277" s="204"/>
      <c r="I277" s="73"/>
      <c r="J277" s="73"/>
      <c r="K277" s="73"/>
      <c r="L277" s="73"/>
      <c r="M277" s="73"/>
      <c r="N277" s="73"/>
      <c r="O277" s="73"/>
      <c r="P277" s="73"/>
      <c r="Q277" s="73"/>
      <c r="R277" s="73"/>
      <c r="S277" s="73"/>
      <c r="T277" s="73"/>
      <c r="U277" s="73"/>
      <c r="V277" s="73"/>
      <c r="W277" s="73"/>
      <c r="X277" s="73"/>
      <c r="Y277" s="73"/>
      <c r="Z277" s="73"/>
      <c r="AA277" s="71"/>
      <c r="AB277" s="71"/>
      <c r="AC277" s="20"/>
      <c r="AD277" s="20"/>
      <c r="AE277" s="22"/>
      <c r="AU277" s="2">
        <f ca="1">0.398942281*EXP(AD167^2/-2)</f>
        <v>0.37888783107841989</v>
      </c>
    </row>
    <row r="278" spans="1:47" ht="15.9" x14ac:dyDescent="0.45">
      <c r="A278" s="204"/>
      <c r="B278" s="204"/>
      <c r="C278" s="204"/>
      <c r="D278" s="204"/>
      <c r="E278" s="213"/>
      <c r="F278" s="206"/>
      <c r="G278" s="206"/>
      <c r="H278" s="204"/>
      <c r="I278" s="73"/>
      <c r="J278" s="73"/>
      <c r="K278" s="73"/>
      <c r="L278" s="73"/>
      <c r="M278" s="73"/>
      <c r="N278" s="73"/>
      <c r="O278" s="73"/>
      <c r="P278" s="73"/>
      <c r="Q278" s="73"/>
      <c r="R278" s="73"/>
      <c r="S278" s="73"/>
      <c r="T278" s="73"/>
      <c r="U278" s="73"/>
      <c r="V278" s="73"/>
      <c r="W278" s="73"/>
      <c r="X278" s="73"/>
      <c r="Y278" s="73"/>
      <c r="Z278" s="73"/>
      <c r="AA278" s="73"/>
      <c r="AB278" s="73"/>
      <c r="AC278" s="24"/>
      <c r="AD278" s="24"/>
      <c r="AE278" s="22"/>
      <c r="AU278" s="2">
        <f ca="1">ABS(AC162/AC168)</f>
        <v>1.3714008411165191</v>
      </c>
    </row>
    <row r="279" spans="1:47" ht="15.9" x14ac:dyDescent="0.45">
      <c r="A279" s="206"/>
      <c r="B279" s="204"/>
      <c r="C279" s="204"/>
      <c r="D279" s="204"/>
      <c r="E279" s="204"/>
      <c r="F279" s="204"/>
      <c r="G279" s="204"/>
      <c r="H279" s="204"/>
      <c r="I279" s="73"/>
      <c r="J279" s="73"/>
      <c r="K279" s="73"/>
      <c r="L279" s="73"/>
      <c r="M279" s="73"/>
      <c r="N279" s="73"/>
      <c r="O279" s="73"/>
      <c r="P279" s="73"/>
      <c r="Q279" s="73"/>
      <c r="R279" s="73"/>
      <c r="S279" s="73"/>
      <c r="T279" s="73"/>
      <c r="U279" s="73"/>
      <c r="V279" s="73"/>
      <c r="W279" s="73"/>
      <c r="X279" s="73"/>
      <c r="Y279" s="73"/>
      <c r="Z279" s="73"/>
      <c r="AA279" s="73"/>
      <c r="AB279" s="73"/>
      <c r="AC279" s="24"/>
      <c r="AD279" s="24"/>
      <c r="AE279" s="24"/>
      <c r="AU279" s="2">
        <f ca="1">AD169*(0.31938153*AD168-0.356563782*AD168^2+1.781477937*AD168^3-1.821255978*AD168^4+1.330274429*AD168^5)</f>
        <v>0.37403912332020472</v>
      </c>
    </row>
    <row r="280" spans="1:47" ht="15.9" x14ac:dyDescent="0.45">
      <c r="A280" s="204"/>
      <c r="B280" s="206"/>
      <c r="C280" s="206"/>
      <c r="D280" s="207"/>
      <c r="E280" s="207"/>
      <c r="F280" s="207"/>
      <c r="G280" s="207"/>
      <c r="H280" s="207"/>
      <c r="I280" s="73"/>
      <c r="J280" s="73"/>
      <c r="K280" s="73"/>
      <c r="L280" s="73"/>
      <c r="M280" s="73"/>
      <c r="N280" s="73"/>
      <c r="O280" s="73"/>
      <c r="P280" s="73"/>
      <c r="Q280" s="73"/>
      <c r="R280" s="73"/>
      <c r="S280" s="73"/>
      <c r="T280" s="73"/>
      <c r="U280" s="73"/>
      <c r="V280" s="73"/>
      <c r="W280" s="73"/>
      <c r="X280" s="73"/>
      <c r="Y280" s="73"/>
      <c r="Z280" s="73"/>
      <c r="AA280" s="73"/>
      <c r="AB280" s="73"/>
      <c r="AC280" s="24"/>
      <c r="AD280" s="24"/>
      <c r="AE280" s="24"/>
      <c r="AU280" s="2">
        <f ca="1">1/(1+(0.2316419*AC170))</f>
        <v>0.75891311397899275</v>
      </c>
    </row>
    <row r="281" spans="1:47" ht="15.9" x14ac:dyDescent="0.45">
      <c r="A281" s="204"/>
      <c r="B281" s="204"/>
      <c r="C281" s="204"/>
      <c r="D281" s="207"/>
      <c r="E281" s="213"/>
      <c r="F281" s="207"/>
      <c r="G281" s="207"/>
      <c r="H281" s="207"/>
      <c r="I281" s="73"/>
      <c r="J281" s="73"/>
      <c r="K281" s="73"/>
      <c r="L281" s="73"/>
      <c r="M281" s="73"/>
      <c r="N281" s="73"/>
      <c r="O281" s="73"/>
      <c r="P281" s="73"/>
      <c r="Q281" s="73"/>
      <c r="R281" s="73"/>
      <c r="S281" s="73"/>
      <c r="T281" s="73"/>
      <c r="U281" s="73"/>
      <c r="V281" s="73"/>
      <c r="W281" s="73"/>
      <c r="X281" s="73"/>
      <c r="Y281" s="73"/>
      <c r="Z281" s="73"/>
      <c r="AA281" s="73"/>
      <c r="AB281" s="73"/>
      <c r="AC281" s="20"/>
      <c r="AD281" s="24"/>
      <c r="AE281" s="24"/>
      <c r="AU281" s="2">
        <f ca="1">0.398942281*EXP(AC170^2/-2)</f>
        <v>0.15578028948289366</v>
      </c>
    </row>
    <row r="282" spans="1:47" ht="15.9" x14ac:dyDescent="0.45">
      <c r="A282" s="204"/>
      <c r="B282" s="206"/>
      <c r="C282" s="204"/>
      <c r="D282" s="207"/>
      <c r="E282" s="212"/>
      <c r="F282" s="212"/>
      <c r="G282" s="212"/>
      <c r="H282" s="212"/>
      <c r="I282" s="73"/>
      <c r="J282" s="73"/>
      <c r="K282" s="73"/>
      <c r="L282" s="73"/>
      <c r="M282" s="73"/>
      <c r="N282" s="73"/>
      <c r="O282" s="73"/>
      <c r="P282" s="73"/>
      <c r="Q282" s="73"/>
      <c r="R282" s="73"/>
      <c r="S282" s="73"/>
      <c r="T282" s="73"/>
      <c r="U282" s="73"/>
      <c r="V282" s="73"/>
      <c r="W282" s="73"/>
      <c r="X282" s="73"/>
      <c r="Y282" s="73"/>
      <c r="Z282" s="73"/>
      <c r="AA282" s="73"/>
      <c r="AB282" s="73"/>
      <c r="AC282" s="24"/>
      <c r="AD282" s="24"/>
      <c r="AE282" s="24"/>
      <c r="AU282" s="2">
        <f ca="1">AC161*C183</f>
        <v>22.739954003421044</v>
      </c>
    </row>
    <row r="283" spans="1:47" ht="15.9" x14ac:dyDescent="0.45">
      <c r="A283" s="204"/>
      <c r="B283" s="206"/>
      <c r="C283" s="204"/>
      <c r="D283" s="207"/>
      <c r="E283" s="207"/>
      <c r="F283" s="207"/>
      <c r="G283" s="207"/>
      <c r="H283" s="207"/>
      <c r="I283" s="74"/>
      <c r="J283" s="74"/>
      <c r="K283" s="74"/>
      <c r="L283" s="74"/>
      <c r="M283" s="74"/>
      <c r="N283" s="74"/>
      <c r="O283" s="74"/>
      <c r="P283" s="74"/>
      <c r="Q283" s="74"/>
      <c r="R283" s="74"/>
      <c r="S283" s="74"/>
      <c r="T283" s="74"/>
      <c r="U283" s="74"/>
      <c r="V283" s="74"/>
      <c r="W283" s="74"/>
      <c r="X283" s="74"/>
      <c r="Y283" s="74"/>
      <c r="Z283" s="74"/>
      <c r="AA283" s="73"/>
      <c r="AB283" s="73"/>
      <c r="AC283" s="24"/>
      <c r="AD283" s="24"/>
      <c r="AE283" s="24"/>
      <c r="AU283" s="2">
        <f ca="1">AC162+0.97*AC168</f>
        <v>2229.4250904953988</v>
      </c>
    </row>
    <row r="284" spans="1:47" ht="15.9" x14ac:dyDescent="0.45">
      <c r="A284" s="204"/>
      <c r="B284" s="204"/>
      <c r="C284" s="206"/>
      <c r="D284" s="204"/>
      <c r="E284" s="204"/>
      <c r="F284" s="204"/>
      <c r="G284" s="204"/>
      <c r="H284" s="204"/>
      <c r="I284" s="71"/>
      <c r="J284" s="71"/>
      <c r="K284" s="71"/>
      <c r="L284" s="71"/>
      <c r="M284" s="71"/>
      <c r="N284" s="71"/>
      <c r="O284" s="71"/>
      <c r="P284" s="71"/>
      <c r="Q284" s="71"/>
      <c r="R284" s="71"/>
      <c r="S284" s="71"/>
      <c r="T284" s="71"/>
      <c r="U284" s="71"/>
      <c r="V284" s="71"/>
      <c r="W284" s="71"/>
      <c r="X284" s="71"/>
      <c r="Y284" s="71"/>
      <c r="Z284" s="71"/>
      <c r="AA284" s="74"/>
      <c r="AB284" s="74"/>
      <c r="AC284" s="24"/>
      <c r="AD284" s="24"/>
      <c r="AE284" s="24"/>
      <c r="AU284" s="2">
        <f ca="1">AC172*(0.31938153*AC171-0.356563782*AC171^2+1.781477937*AC171^3-1.821255978*AC171^4+1.330274429*AC171^5)</f>
        <v>8.5125074885881225E-2</v>
      </c>
    </row>
    <row r="285" spans="1:47" ht="15.9" x14ac:dyDescent="0.45">
      <c r="A285" s="204"/>
      <c r="B285" s="206"/>
      <c r="C285" s="206"/>
      <c r="D285" s="207"/>
      <c r="E285" s="207"/>
      <c r="F285" s="207"/>
      <c r="G285" s="207"/>
      <c r="H285" s="207"/>
      <c r="I285" s="73"/>
      <c r="J285" s="73"/>
      <c r="K285" s="73"/>
      <c r="L285" s="73"/>
      <c r="M285" s="73"/>
      <c r="N285" s="73"/>
      <c r="O285" s="73"/>
      <c r="P285" s="73"/>
      <c r="Q285" s="73"/>
      <c r="R285" s="73"/>
      <c r="S285" s="73"/>
      <c r="T285" s="73"/>
      <c r="U285" s="73"/>
      <c r="V285" s="73"/>
      <c r="W285" s="73"/>
      <c r="X285" s="73"/>
      <c r="Y285" s="73"/>
      <c r="Z285" s="73"/>
      <c r="AA285" s="71"/>
      <c r="AB285" s="71"/>
      <c r="AC285" s="24"/>
      <c r="AD285" s="24"/>
      <c r="AE285" s="24"/>
      <c r="AU285" s="2">
        <f ca="1">AC161*C184</f>
        <v>17.495411955681909</v>
      </c>
    </row>
    <row r="286" spans="1:47" ht="15.9" x14ac:dyDescent="0.45">
      <c r="A286" s="204"/>
      <c r="B286" s="204"/>
      <c r="C286" s="204"/>
      <c r="D286" s="207"/>
      <c r="E286" s="207"/>
      <c r="F286" s="207"/>
      <c r="G286" s="207"/>
      <c r="H286" s="207"/>
      <c r="I286" s="73"/>
      <c r="J286" s="73"/>
      <c r="K286" s="73"/>
      <c r="L286" s="73"/>
      <c r="M286" s="73"/>
      <c r="N286" s="73"/>
      <c r="O286" s="73"/>
      <c r="P286" s="73"/>
      <c r="Q286" s="73"/>
      <c r="R286" s="73"/>
      <c r="S286" s="73"/>
      <c r="T286" s="73"/>
      <c r="U286" s="73"/>
      <c r="V286" s="73"/>
      <c r="W286" s="73"/>
      <c r="X286" s="73"/>
      <c r="Y286" s="73"/>
      <c r="Z286" s="73"/>
      <c r="AA286" s="73"/>
      <c r="AB286" s="73"/>
      <c r="AC286" s="24"/>
      <c r="AD286" s="24"/>
      <c r="AE286" s="24"/>
      <c r="AU286" s="2">
        <f ca="1">AC162+0.43*AC168</f>
        <v>1715.250188135054</v>
      </c>
    </row>
    <row r="287" spans="1:47" ht="15.9" x14ac:dyDescent="0.45">
      <c r="A287" s="204"/>
      <c r="B287" s="204"/>
      <c r="C287" s="206"/>
      <c r="D287" s="207"/>
      <c r="E287" s="207"/>
      <c r="F287" s="207"/>
      <c r="G287" s="207"/>
      <c r="H287" s="207"/>
      <c r="I287" s="73"/>
      <c r="J287" s="73"/>
      <c r="K287" s="73"/>
      <c r="L287" s="73"/>
      <c r="M287" s="73"/>
      <c r="N287" s="73"/>
      <c r="O287" s="73"/>
      <c r="P287" s="73"/>
      <c r="Q287" s="73"/>
      <c r="R287" s="73"/>
      <c r="S287" s="73"/>
      <c r="T287" s="73"/>
      <c r="U287" s="73"/>
      <c r="V287" s="73"/>
      <c r="W287" s="73"/>
      <c r="X287" s="73"/>
      <c r="Y287" s="73"/>
      <c r="Z287" s="73"/>
      <c r="AA287" s="73"/>
      <c r="AB287" s="73"/>
      <c r="AC287" s="24"/>
      <c r="AD287" s="24"/>
      <c r="AE287" s="20"/>
      <c r="AU287" s="2">
        <f ca="1">AC161*C185</f>
        <v>13.319202547297042</v>
      </c>
    </row>
    <row r="288" spans="1:47" ht="15.9" x14ac:dyDescent="0.45">
      <c r="A288" s="204"/>
      <c r="B288" s="204"/>
      <c r="C288" s="206"/>
      <c r="D288" s="207"/>
      <c r="E288" s="207"/>
      <c r="F288" s="207"/>
      <c r="G288" s="207"/>
      <c r="H288" s="207"/>
      <c r="I288" s="70"/>
      <c r="J288" s="70"/>
      <c r="K288" s="70"/>
      <c r="L288" s="70"/>
      <c r="M288" s="70"/>
      <c r="N288" s="70"/>
      <c r="O288" s="70"/>
      <c r="P288" s="70"/>
      <c r="Q288" s="70"/>
      <c r="R288" s="70"/>
      <c r="S288" s="70"/>
      <c r="T288" s="70"/>
      <c r="U288" s="70"/>
      <c r="V288" s="70"/>
      <c r="W288" s="70"/>
      <c r="X288" s="70"/>
      <c r="Y288" s="70"/>
      <c r="Z288" s="70"/>
      <c r="AA288" s="73"/>
      <c r="AB288" s="73"/>
      <c r="AC288" s="24"/>
      <c r="AD288" s="24"/>
      <c r="AE288" s="20"/>
      <c r="AU288" s="25">
        <f ca="1">AC162</f>
        <v>1305.8146177370018</v>
      </c>
    </row>
    <row r="289" spans="1:47" ht="15.9" x14ac:dyDescent="0.45">
      <c r="A289" s="204"/>
      <c r="B289" s="204"/>
      <c r="C289" s="206"/>
      <c r="D289" s="207"/>
      <c r="E289" s="213"/>
      <c r="F289" s="207"/>
      <c r="G289" s="207"/>
      <c r="H289" s="207"/>
      <c r="I289" s="71"/>
      <c r="J289" s="71"/>
      <c r="K289" s="71"/>
      <c r="L289" s="71"/>
      <c r="M289" s="71"/>
      <c r="N289" s="71"/>
      <c r="O289" s="71"/>
      <c r="P289" s="71"/>
      <c r="Q289" s="71"/>
      <c r="R289" s="71"/>
      <c r="S289" s="71"/>
      <c r="T289" s="71"/>
      <c r="U289" s="71"/>
      <c r="V289" s="71"/>
      <c r="W289" s="71"/>
      <c r="X289" s="71"/>
      <c r="Y289" s="71"/>
      <c r="Z289" s="71"/>
      <c r="AA289" s="70"/>
      <c r="AB289" s="70"/>
      <c r="AC289" s="24"/>
      <c r="AD289" s="24"/>
      <c r="AE289" s="24"/>
      <c r="AU289" s="2">
        <f ca="1">AC161*C186</f>
        <v>9.1429931389121748</v>
      </c>
    </row>
    <row r="290" spans="1:47" ht="15.9" x14ac:dyDescent="0.45">
      <c r="A290" s="204"/>
      <c r="B290" s="204"/>
      <c r="C290" s="204"/>
      <c r="D290" s="207"/>
      <c r="E290" s="207"/>
      <c r="F290" s="207"/>
      <c r="G290" s="207"/>
      <c r="H290" s="207"/>
      <c r="I290" s="75"/>
      <c r="J290" s="75"/>
      <c r="K290" s="75"/>
      <c r="L290" s="75"/>
      <c r="M290" s="75"/>
      <c r="N290" s="75"/>
      <c r="O290" s="75"/>
      <c r="P290" s="75"/>
      <c r="Q290" s="75"/>
      <c r="R290" s="75"/>
      <c r="S290" s="75"/>
      <c r="T290" s="75"/>
      <c r="U290" s="75"/>
      <c r="V290" s="75"/>
      <c r="W290" s="75"/>
      <c r="X290" s="75"/>
      <c r="Y290" s="75"/>
      <c r="Z290" s="75"/>
      <c r="AA290" s="71"/>
      <c r="AB290" s="71"/>
      <c r="AC290" s="24"/>
      <c r="AD290" s="24"/>
      <c r="AE290" s="24"/>
      <c r="AU290" s="2">
        <f ca="1">AC162-0.43*AC168</f>
        <v>896.37904733894948</v>
      </c>
    </row>
    <row r="291" spans="1:47" ht="15.9" x14ac:dyDescent="0.45">
      <c r="A291" s="204"/>
      <c r="B291" s="204"/>
      <c r="C291" s="204"/>
      <c r="D291" s="207"/>
      <c r="E291" s="212"/>
      <c r="F291" s="212"/>
      <c r="G291" s="212"/>
      <c r="H291" s="212"/>
      <c r="I291" s="74"/>
      <c r="J291" s="74"/>
      <c r="K291" s="74"/>
      <c r="L291" s="74"/>
      <c r="M291" s="74"/>
      <c r="N291" s="74"/>
      <c r="O291" s="74"/>
      <c r="P291" s="74"/>
      <c r="Q291" s="74"/>
      <c r="R291" s="74"/>
      <c r="S291" s="74"/>
      <c r="T291" s="74"/>
      <c r="U291" s="74"/>
      <c r="V291" s="74"/>
      <c r="W291" s="74"/>
      <c r="X291" s="74"/>
      <c r="Y291" s="74"/>
      <c r="Z291" s="74"/>
      <c r="AA291" s="75"/>
      <c r="AB291" s="75"/>
      <c r="AC291" s="24"/>
      <c r="AD291" s="24"/>
      <c r="AE291" s="24"/>
      <c r="AU291" s="2">
        <f ca="1">AC161*C187</f>
        <v>3.8984510911730386</v>
      </c>
    </row>
    <row r="292" spans="1:47" ht="15.9" x14ac:dyDescent="0.45">
      <c r="A292" s="204"/>
      <c r="B292" s="204"/>
      <c r="C292" s="204"/>
      <c r="D292" s="204"/>
      <c r="E292" s="204"/>
      <c r="F292" s="204"/>
      <c r="G292" s="204"/>
      <c r="H292" s="204"/>
      <c r="I292" s="74"/>
      <c r="J292" s="74"/>
      <c r="K292" s="74"/>
      <c r="L292" s="74"/>
      <c r="M292" s="74"/>
      <c r="N292" s="74"/>
      <c r="O292" s="74"/>
      <c r="P292" s="74"/>
      <c r="Q292" s="74"/>
      <c r="R292" s="74"/>
      <c r="S292" s="74"/>
      <c r="T292" s="74"/>
      <c r="U292" s="74"/>
      <c r="V292" s="74"/>
      <c r="W292" s="74"/>
      <c r="X292" s="74"/>
      <c r="Y292" s="74"/>
      <c r="Z292" s="74"/>
      <c r="AA292" s="74"/>
      <c r="AB292" s="74"/>
      <c r="AC292" s="24"/>
      <c r="AD292" s="24"/>
      <c r="AE292" s="24"/>
      <c r="AU292" s="2">
        <f ca="1">AC162-0.97*AC168</f>
        <v>382.20414497860463</v>
      </c>
    </row>
    <row r="293" spans="1:47" ht="15.9" x14ac:dyDescent="0.45">
      <c r="A293" s="204"/>
      <c r="B293" s="204"/>
      <c r="C293" s="206"/>
      <c r="D293" s="207"/>
      <c r="E293" s="207"/>
      <c r="F293" s="207"/>
      <c r="G293" s="207"/>
      <c r="H293" s="207"/>
      <c r="I293" s="74"/>
      <c r="J293" s="74"/>
      <c r="K293" s="74"/>
      <c r="L293" s="74"/>
      <c r="M293" s="74"/>
      <c r="N293" s="74"/>
      <c r="O293" s="74"/>
      <c r="P293" s="74"/>
      <c r="Q293" s="74"/>
      <c r="R293" s="74"/>
      <c r="S293" s="74"/>
      <c r="T293" s="74"/>
      <c r="U293" s="74"/>
      <c r="V293" s="74"/>
      <c r="W293" s="74"/>
      <c r="X293" s="74"/>
      <c r="Y293" s="74"/>
      <c r="Z293" s="74"/>
      <c r="AA293" s="74"/>
      <c r="AB293" s="74"/>
      <c r="AC293" s="24"/>
      <c r="AD293" s="24"/>
      <c r="AE293" s="24"/>
      <c r="AU293" s="2">
        <f ca="1">(PV(D190,D191,-(((G160-G161)/E39+D192)*F30*C12/100))-H190)/(F30*C12/100)*(E39/C6)</f>
        <v>33415.522988268262</v>
      </c>
    </row>
    <row r="294" spans="1:47" ht="15.9" x14ac:dyDescent="0.45">
      <c r="A294" s="204"/>
      <c r="B294" s="204"/>
      <c r="C294" s="204"/>
      <c r="D294" s="207"/>
      <c r="E294" s="207"/>
      <c r="F294" s="207"/>
      <c r="G294" s="207"/>
      <c r="H294" s="207"/>
      <c r="I294" s="74"/>
      <c r="J294" s="74"/>
      <c r="K294" s="74"/>
      <c r="L294" s="74"/>
      <c r="M294" s="74"/>
      <c r="N294" s="74"/>
      <c r="O294" s="74"/>
      <c r="P294" s="74"/>
      <c r="Q294" s="74"/>
      <c r="R294" s="74"/>
      <c r="S294" s="74"/>
      <c r="T294" s="74"/>
      <c r="U294" s="74"/>
      <c r="V294" s="74"/>
      <c r="W294" s="74"/>
      <c r="X294" s="74"/>
      <c r="Y294" s="74"/>
      <c r="Z294" s="74"/>
      <c r="AA294" s="74"/>
      <c r="AB294" s="74"/>
      <c r="AC294" s="24"/>
      <c r="AD294" s="24"/>
      <c r="AE294" s="24"/>
      <c r="AU294" s="2" t="str">
        <f>"  at "&amp;FIXED(D193,0,TRUE)&amp;"/kg"</f>
        <v xml:space="preserve">  at 24000/kg</v>
      </c>
    </row>
    <row r="295" spans="1:47" ht="15.9" x14ac:dyDescent="0.45">
      <c r="A295" s="204"/>
      <c r="B295" s="204"/>
      <c r="C295" s="204"/>
      <c r="D295" s="207"/>
      <c r="E295" s="207"/>
      <c r="F295" s="207"/>
      <c r="G295" s="207"/>
      <c r="H295" s="207"/>
      <c r="I295" s="74"/>
      <c r="J295" s="74"/>
      <c r="K295" s="74"/>
      <c r="L295" s="74"/>
      <c r="M295" s="74"/>
      <c r="N295" s="74"/>
      <c r="O295" s="74"/>
      <c r="P295" s="74"/>
      <c r="Q295" s="74"/>
      <c r="R295" s="74"/>
      <c r="S295" s="74"/>
      <c r="T295" s="74"/>
      <c r="U295" s="74"/>
      <c r="V295" s="74"/>
      <c r="W295" s="74"/>
      <c r="X295" s="74"/>
      <c r="Y295" s="74"/>
      <c r="Z295" s="74"/>
      <c r="AA295" s="74"/>
      <c r="AB295" s="74"/>
      <c r="AC295" s="24"/>
      <c r="AD295" s="24"/>
      <c r="AE295" s="24"/>
      <c r="AU295" s="2">
        <f ca="1">(((C12*F30*((G163/E39)+D192))/100)-PMT(D190,D191,-(F30*C12*(D193/(E39/C6))/100+H190)))</f>
        <v>1334.7939476735723</v>
      </c>
    </row>
    <row r="296" spans="1:47" ht="15.9" x14ac:dyDescent="0.45">
      <c r="A296" s="206"/>
      <c r="B296" s="204"/>
      <c r="C296" s="204"/>
      <c r="D296" s="204"/>
      <c r="E296" s="206"/>
      <c r="F296" s="205"/>
      <c r="G296" s="214"/>
      <c r="H296" s="205"/>
      <c r="I296" s="74"/>
      <c r="J296" s="74"/>
      <c r="K296" s="74"/>
      <c r="L296" s="74"/>
      <c r="M296" s="74"/>
      <c r="N296" s="74"/>
      <c r="O296" s="74"/>
      <c r="P296" s="74"/>
      <c r="Q296" s="74"/>
      <c r="R296" s="74"/>
      <c r="S296" s="74"/>
      <c r="T296" s="74"/>
      <c r="U296" s="74"/>
      <c r="V296" s="74"/>
      <c r="W296" s="74"/>
      <c r="X296" s="74"/>
      <c r="Y296" s="74"/>
      <c r="Z296" s="74"/>
      <c r="AA296" s="74"/>
      <c r="AB296" s="74"/>
      <c r="AC296" s="24"/>
      <c r="AD296" s="24"/>
      <c r="AE296" s="20"/>
      <c r="AU296" s="2">
        <f ca="1">-NPER(D190,(+E39/+C6)*((F163/C12)+D192),,D193+H190,0)</f>
        <v>6.9788412463373213</v>
      </c>
    </row>
    <row r="297" spans="1:47" ht="15.9" x14ac:dyDescent="0.45">
      <c r="A297" s="204"/>
      <c r="B297" s="204"/>
      <c r="C297" s="204"/>
      <c r="D297" s="204"/>
      <c r="E297" s="204"/>
      <c r="F297" s="204"/>
      <c r="G297" s="204"/>
      <c r="H297" s="204"/>
      <c r="I297" s="74"/>
      <c r="J297" s="74"/>
      <c r="K297" s="74"/>
      <c r="L297" s="74"/>
      <c r="M297" s="74"/>
      <c r="N297" s="74"/>
      <c r="O297" s="74"/>
      <c r="P297" s="74"/>
      <c r="Q297" s="74"/>
      <c r="R297" s="74"/>
      <c r="S297" s="74"/>
      <c r="T297" s="74"/>
      <c r="U297" s="74"/>
      <c r="V297" s="74"/>
      <c r="W297" s="74"/>
      <c r="X297" s="74"/>
      <c r="Y297" s="74"/>
      <c r="Z297" s="74"/>
      <c r="AA297" s="74"/>
      <c r="AB297" s="74"/>
      <c r="AC297" s="24"/>
      <c r="AD297" s="24"/>
      <c r="AE297" s="20"/>
    </row>
    <row r="298" spans="1:47" ht="15.9" x14ac:dyDescent="0.45">
      <c r="A298" s="206"/>
      <c r="B298" s="204"/>
      <c r="C298" s="204"/>
      <c r="D298" s="204"/>
      <c r="E298" s="207"/>
      <c r="F298" s="205"/>
      <c r="G298" s="207"/>
      <c r="H298" s="215"/>
      <c r="I298" s="74"/>
      <c r="J298" s="74"/>
      <c r="K298" s="74"/>
      <c r="L298" s="74"/>
      <c r="M298" s="74"/>
      <c r="N298" s="74"/>
      <c r="O298" s="74"/>
      <c r="P298" s="74"/>
      <c r="Q298" s="74"/>
      <c r="R298" s="74"/>
      <c r="S298" s="74"/>
      <c r="T298" s="74"/>
      <c r="U298" s="74"/>
      <c r="V298" s="74"/>
      <c r="W298" s="74"/>
      <c r="X298" s="74"/>
      <c r="Y298" s="74"/>
      <c r="Z298" s="74"/>
      <c r="AA298" s="74"/>
      <c r="AB298" s="74"/>
      <c r="AC298" s="24"/>
      <c r="AD298" s="24"/>
      <c r="AE298" s="20"/>
    </row>
    <row r="299" spans="1:47" ht="15.9" x14ac:dyDescent="0.45">
      <c r="A299" s="206"/>
      <c r="B299" s="204"/>
      <c r="C299" s="206"/>
      <c r="D299" s="204"/>
      <c r="E299" s="204"/>
      <c r="F299" s="205"/>
      <c r="G299" s="214"/>
      <c r="H299" s="212"/>
      <c r="I299" s="74"/>
      <c r="J299" s="74"/>
      <c r="K299" s="74"/>
      <c r="L299" s="74"/>
      <c r="M299" s="74"/>
      <c r="N299" s="74"/>
      <c r="O299" s="74"/>
      <c r="P299" s="74"/>
      <c r="Q299" s="74"/>
      <c r="R299" s="74"/>
      <c r="S299" s="74"/>
      <c r="T299" s="74"/>
      <c r="U299" s="74"/>
      <c r="V299" s="74"/>
      <c r="W299" s="74"/>
      <c r="X299" s="74"/>
      <c r="Y299" s="74"/>
      <c r="Z299" s="74"/>
      <c r="AA299" s="74"/>
      <c r="AB299" s="74"/>
      <c r="AC299" s="24"/>
      <c r="AD299" s="24"/>
      <c r="AE299" s="20"/>
    </row>
    <row r="300" spans="1:47" ht="15.9" x14ac:dyDescent="0.45">
      <c r="A300" s="206"/>
      <c r="B300" s="204"/>
      <c r="C300" s="204"/>
      <c r="D300" s="206"/>
      <c r="E300" s="204"/>
      <c r="F300" s="205"/>
      <c r="G300" s="214"/>
      <c r="H300" s="212"/>
      <c r="I300" s="74"/>
      <c r="J300" s="74"/>
      <c r="K300" s="74"/>
      <c r="L300" s="74"/>
      <c r="M300" s="74"/>
      <c r="N300" s="74"/>
      <c r="O300" s="74"/>
      <c r="P300" s="74"/>
      <c r="Q300" s="74"/>
      <c r="R300" s="74"/>
      <c r="S300" s="74"/>
      <c r="T300" s="74"/>
      <c r="U300" s="74"/>
      <c r="V300" s="74"/>
      <c r="W300" s="74"/>
      <c r="X300" s="74"/>
      <c r="Y300" s="74"/>
      <c r="Z300" s="74"/>
      <c r="AA300" s="74"/>
      <c r="AB300" s="74"/>
      <c r="AC300" s="24"/>
      <c r="AD300" s="24"/>
      <c r="AE300" s="20"/>
    </row>
    <row r="301" spans="1:47" ht="15.9" x14ac:dyDescent="0.45">
      <c r="A301" s="206"/>
      <c r="B301" s="204"/>
      <c r="C301" s="206"/>
      <c r="D301" s="204"/>
      <c r="E301" s="204"/>
      <c r="F301" s="205"/>
      <c r="G301" s="214"/>
      <c r="H301" s="212"/>
      <c r="I301" s="74"/>
      <c r="J301" s="74"/>
      <c r="K301" s="74"/>
      <c r="L301" s="74"/>
      <c r="M301" s="74"/>
      <c r="N301" s="74"/>
      <c r="O301" s="74"/>
      <c r="P301" s="74"/>
      <c r="Q301" s="74"/>
      <c r="R301" s="74"/>
      <c r="S301" s="74"/>
      <c r="T301" s="74"/>
      <c r="U301" s="74"/>
      <c r="V301" s="74"/>
      <c r="W301" s="74"/>
      <c r="X301" s="74"/>
      <c r="Y301" s="74"/>
      <c r="Z301" s="74"/>
      <c r="AA301" s="74"/>
      <c r="AB301" s="74"/>
      <c r="AC301" s="24"/>
      <c r="AD301" s="24"/>
      <c r="AE301" s="20"/>
    </row>
    <row r="302" spans="1:47" ht="15.9" x14ac:dyDescent="0.45">
      <c r="A302" s="206"/>
      <c r="B302" s="204"/>
      <c r="C302" s="204"/>
      <c r="D302" s="206"/>
      <c r="E302" s="204"/>
      <c r="F302" s="205"/>
      <c r="G302" s="207"/>
      <c r="H302" s="212"/>
      <c r="I302" s="74"/>
      <c r="J302" s="74"/>
      <c r="K302" s="74"/>
      <c r="L302" s="74"/>
      <c r="M302" s="74"/>
      <c r="N302" s="74"/>
      <c r="O302" s="74"/>
      <c r="P302" s="74"/>
      <c r="Q302" s="74"/>
      <c r="R302" s="74"/>
      <c r="S302" s="74"/>
      <c r="T302" s="74"/>
      <c r="U302" s="74"/>
      <c r="V302" s="74"/>
      <c r="W302" s="74"/>
      <c r="X302" s="74"/>
      <c r="Y302" s="74"/>
      <c r="Z302" s="74"/>
      <c r="AA302" s="74"/>
      <c r="AB302" s="74"/>
      <c r="AC302" s="20"/>
      <c r="AD302" s="20"/>
      <c r="AE302" s="20"/>
    </row>
    <row r="303" spans="1:47" ht="15.9" x14ac:dyDescent="0.45">
      <c r="A303" s="206"/>
      <c r="B303" s="206"/>
      <c r="C303" s="205"/>
      <c r="D303" s="206"/>
      <c r="E303" s="204"/>
      <c r="F303" s="205"/>
      <c r="G303" s="207"/>
      <c r="H303" s="212"/>
      <c r="I303" s="74"/>
      <c r="J303" s="74"/>
      <c r="K303" s="74"/>
      <c r="L303" s="74"/>
      <c r="M303" s="74"/>
      <c r="N303" s="74"/>
      <c r="O303" s="74"/>
      <c r="P303" s="74"/>
      <c r="Q303" s="74"/>
      <c r="R303" s="74"/>
      <c r="S303" s="74"/>
      <c r="T303" s="74"/>
      <c r="U303" s="74"/>
      <c r="V303" s="74"/>
      <c r="W303" s="74"/>
      <c r="X303" s="74"/>
      <c r="Y303" s="74"/>
      <c r="Z303" s="74"/>
      <c r="AA303" s="74"/>
      <c r="AB303" s="74"/>
      <c r="AC303" s="24"/>
      <c r="AD303" s="20"/>
      <c r="AE303" s="20"/>
    </row>
    <row r="304" spans="1:47" ht="15.9" x14ac:dyDescent="0.45">
      <c r="A304" s="206"/>
      <c r="B304" s="206"/>
      <c r="C304" s="204"/>
      <c r="D304" s="206"/>
      <c r="E304" s="204"/>
      <c r="F304" s="205"/>
      <c r="G304" s="207"/>
      <c r="H304" s="212"/>
      <c r="I304" s="71"/>
      <c r="J304" s="71"/>
      <c r="K304" s="71"/>
      <c r="L304" s="71"/>
      <c r="M304" s="71"/>
      <c r="N304" s="71"/>
      <c r="O304" s="71"/>
      <c r="P304" s="71"/>
      <c r="Q304" s="71"/>
      <c r="R304" s="71"/>
      <c r="S304" s="71"/>
      <c r="T304" s="71"/>
      <c r="U304" s="71"/>
      <c r="V304" s="71"/>
      <c r="W304" s="71"/>
      <c r="X304" s="71"/>
      <c r="Y304" s="71"/>
      <c r="Z304" s="71"/>
      <c r="AA304" s="74"/>
      <c r="AB304" s="74"/>
      <c r="AC304" s="24"/>
      <c r="AD304" s="20"/>
      <c r="AE304" s="20"/>
    </row>
    <row r="305" spans="1:28" ht="15.9" x14ac:dyDescent="0.45">
      <c r="A305" s="206"/>
      <c r="B305" s="206"/>
      <c r="C305" s="205"/>
      <c r="D305" s="206"/>
      <c r="E305" s="204"/>
      <c r="F305" s="205"/>
      <c r="G305" s="207"/>
      <c r="H305" s="212"/>
      <c r="I305" s="71"/>
      <c r="J305" s="71"/>
      <c r="K305" s="71"/>
      <c r="L305" s="71"/>
      <c r="M305" s="71"/>
      <c r="N305" s="71"/>
      <c r="O305" s="71"/>
      <c r="P305" s="71"/>
      <c r="Q305" s="71"/>
      <c r="R305" s="71"/>
      <c r="S305" s="71"/>
      <c r="T305" s="71"/>
      <c r="U305" s="71"/>
      <c r="V305" s="71"/>
      <c r="W305" s="71"/>
      <c r="X305" s="71"/>
      <c r="Y305" s="71"/>
      <c r="Z305" s="71"/>
      <c r="AA305" s="71"/>
      <c r="AB305" s="71"/>
    </row>
    <row r="306" spans="1:28" ht="15.9" x14ac:dyDescent="0.45">
      <c r="A306" s="206"/>
      <c r="B306" s="206"/>
      <c r="C306" s="205"/>
      <c r="D306" s="206"/>
      <c r="E306" s="204"/>
      <c r="F306" s="205"/>
      <c r="G306" s="207"/>
      <c r="H306" s="212"/>
      <c r="I306" s="72"/>
      <c r="J306" s="72"/>
      <c r="K306" s="72"/>
      <c r="L306" s="72"/>
      <c r="M306" s="72"/>
      <c r="N306" s="72"/>
      <c r="O306" s="72"/>
      <c r="P306" s="72"/>
      <c r="Q306" s="72"/>
      <c r="R306" s="72"/>
      <c r="S306" s="72"/>
      <c r="T306" s="72"/>
      <c r="U306" s="72"/>
      <c r="V306" s="72"/>
      <c r="W306" s="72"/>
      <c r="X306" s="72"/>
      <c r="Y306" s="72"/>
      <c r="Z306" s="72"/>
      <c r="AA306" s="71"/>
      <c r="AB306" s="71"/>
    </row>
    <row r="307" spans="1:28" ht="15.9" x14ac:dyDescent="0.45">
      <c r="A307" s="206"/>
      <c r="B307" s="206"/>
      <c r="C307" s="205"/>
      <c r="D307" s="205"/>
      <c r="E307" s="204"/>
      <c r="F307" s="205"/>
      <c r="G307" s="207"/>
      <c r="H307" s="212"/>
      <c r="AA307" s="72"/>
      <c r="AB307" s="72"/>
    </row>
    <row r="308" spans="1:28" ht="15.9" x14ac:dyDescent="0.45">
      <c r="A308" s="206"/>
      <c r="B308" s="206"/>
      <c r="C308" s="205"/>
      <c r="D308" s="206"/>
      <c r="E308" s="204"/>
      <c r="F308" s="205"/>
      <c r="G308" s="207"/>
      <c r="H308" s="212"/>
    </row>
    <row r="309" spans="1:28" ht="15.9" x14ac:dyDescent="0.45">
      <c r="A309" s="204"/>
      <c r="B309" s="204"/>
      <c r="C309" s="205"/>
      <c r="D309" s="204"/>
      <c r="E309" s="204"/>
      <c r="F309" s="204"/>
      <c r="G309" s="204"/>
      <c r="H309" s="212"/>
    </row>
    <row r="310" spans="1:28" ht="15.9" x14ac:dyDescent="0.45">
      <c r="A310" s="206"/>
      <c r="B310" s="206"/>
      <c r="C310" s="205"/>
      <c r="D310" s="206"/>
      <c r="E310" s="204"/>
      <c r="F310" s="205"/>
      <c r="G310" s="207"/>
      <c r="H310" s="212"/>
    </row>
    <row r="311" spans="1:28" ht="15.9" x14ac:dyDescent="0.45">
      <c r="A311" s="204"/>
      <c r="B311" s="204"/>
      <c r="C311" s="205"/>
      <c r="D311" s="204"/>
      <c r="E311" s="204"/>
      <c r="F311" s="204"/>
      <c r="G311" s="204"/>
      <c r="H311" s="212"/>
    </row>
    <row r="312" spans="1:28" ht="15.9" x14ac:dyDescent="0.45">
      <c r="A312" s="206"/>
      <c r="B312" s="206"/>
      <c r="C312" s="204"/>
      <c r="D312" s="206"/>
      <c r="E312" s="206"/>
      <c r="F312" s="205"/>
      <c r="G312" s="207"/>
      <c r="H312" s="204"/>
    </row>
    <row r="313" spans="1:28" ht="15.9" x14ac:dyDescent="0.45">
      <c r="A313" s="204"/>
      <c r="B313" s="204"/>
      <c r="C313" s="204"/>
      <c r="D313" s="204"/>
      <c r="E313" s="204"/>
      <c r="F313" s="204"/>
      <c r="G313" s="204"/>
      <c r="H313" s="204"/>
    </row>
    <row r="314" spans="1:28" ht="15.9" x14ac:dyDescent="0.45">
      <c r="A314" s="206"/>
      <c r="B314" s="206"/>
      <c r="C314" s="204"/>
      <c r="D314" s="206"/>
      <c r="E314" s="206"/>
      <c r="F314" s="206"/>
      <c r="G314" s="206"/>
      <c r="H314" s="206"/>
    </row>
  </sheetData>
  <sheetProtection algorithmName="SHA-512" hashValue="Sl4sk+0h0zFwji85zdtxMXHUXXF3QLzhIeedzctEJGpcN7Xiuc7VaCDlxQDgl4NU5FciEzB3aNJAqYP7l6dwQA==" saltValue="/iq8O8j5xQ2Yk0OxYvyBXA==" spinCount="100000" sheet="1" objects="1" scenarios="1"/>
  <phoneticPr fontId="0" type="noConversion"/>
  <conditionalFormatting sqref="H178">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dataValidations disablePrompts="1" count="1">
    <dataValidation type="decimal" allowBlank="1" showInputMessage="1" showErrorMessage="1" errorTitle="Quota &amp; Credits Shipped" error="Maximum % of Quota and Credits Shipped that can be entered is 100%_x000a_" promptTitle="High Quota Shippped" sqref="F32 D32 H32" xr:uid="{00000000-0002-0000-0000-000000000000}">
      <formula1>0</formula1>
      <formula2>100</formula2>
    </dataValidation>
  </dataValidations>
  <hyperlinks>
    <hyperlink ref="D204" r:id="rId1" xr:uid="{00000000-0004-0000-0000-000000000000}"/>
  </hyperlinks>
  <printOptions horizontalCentered="1"/>
  <pageMargins left="0.75" right="0.75" top="1" bottom="1" header="0.5" footer="0.5"/>
  <pageSetup scale="76" orientation="portrait" r:id="rId2"/>
  <headerFooter alignWithMargins="0">
    <oddHeader xml:space="preserve">&amp;L                                                                        </oddHeader>
    <oddFooter>&amp;CPage -&amp;P-&amp;R</oddFooter>
  </headerFooter>
  <rowBreaks count="2" manualBreakCount="2">
    <brk id="78" max="7" man="1"/>
    <brk id="15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3CCB73A0-1F2B-41BB-B3E5-CFB803F2748C}"/>
</file>

<file path=customXml/itemProps2.xml><?xml version="1.0" encoding="utf-8"?>
<ds:datastoreItem xmlns:ds="http://schemas.openxmlformats.org/officeDocument/2006/customXml" ds:itemID="{F4BCAC45-CC58-4295-96BB-345CAB069D8D}"/>
</file>

<file path=customXml/itemProps3.xml><?xml version="1.0" encoding="utf-8"?>
<ds:datastoreItem xmlns:ds="http://schemas.openxmlformats.org/officeDocument/2006/customXml" ds:itemID="{D5E20B0C-528B-4BF6-A38F-FB0F68CF2CF5}"/>
</file>

<file path=customXml/itemProps4.xml><?xml version="1.0" encoding="utf-8"?>
<ds:datastoreItem xmlns:ds="http://schemas.openxmlformats.org/officeDocument/2006/customXml" ds:itemID="{EC6FBEA3-3532-489A-9D68-9AB120365533}"/>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Dairy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john.molenhuis@ontario.ca</dc:creator>
  <cp:lastModifiedBy>Molenhuis, John (OMAFA)</cp:lastModifiedBy>
  <cp:lastPrinted>2013-08-06T19:45:51Z</cp:lastPrinted>
  <dcterms:created xsi:type="dcterms:W3CDTF">2004-09-08T20:28:27Z</dcterms:created>
  <dcterms:modified xsi:type="dcterms:W3CDTF">2024-08-15T18:49:16Z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2020-05-05T15:42:38.4533407Z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b74d78ec-e420-4af1-ac73-da27bd3e5d3c</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