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updateLinks="never" codeName="ThisWorkbook"/>
  <mc:AlternateContent xmlns:mc="http://schemas.openxmlformats.org/markup-compatibility/2006">
    <mc:Choice Requires="x15">
      <x15ac:absPath xmlns:x15ac="http://schemas.microsoft.com/office/spreadsheetml/2010/11/ac" url="C:\Data\updatedbudgets\livestock\Beef\2020\"/>
    </mc:Choice>
  </mc:AlternateContent>
  <xr:revisionPtr revIDLastSave="0" documentId="8_{E1CF768A-6F9B-4A27-8603-C95A2532D1F2}" xr6:coauthVersionLast="41" xr6:coauthVersionMax="41" xr10:uidLastSave="{00000000-0000-0000-0000-000000000000}"/>
  <bookViews>
    <workbookView xWindow="-120" yWindow="-120" windowWidth="29040" windowHeight="17640" activeTab="1" xr2:uid="{00000000-000D-0000-FFFF-FFFF00000000}"/>
  </bookViews>
  <sheets>
    <sheet name="Cow Calf Notes" sheetId="6" r:id="rId1"/>
    <sheet name="Cow Calf COP" sheetId="5" r:id="rId2"/>
  </sheets>
  <externalReferences>
    <externalReference r:id="rId3"/>
  </externalReferences>
  <definedNames>
    <definedName name="__123Graph_A" hidden="1">[1]Schedule!#REF!</definedName>
    <definedName name="__123Graph_LBL_A" hidden="1">[1]Schedule!#REF!</definedName>
    <definedName name="_1__123Graph_AP_I" hidden="1">[1]Schedule!#REF!</definedName>
    <definedName name="_2__123Graph_LBL_AP_I" hidden="1">[1]Schedule!#REF!</definedName>
    <definedName name="_3__123Graph_LBL_BP_I" hidden="1">[1]Schedule!#REF!</definedName>
    <definedName name="_Fill" hidden="1">[1]Schedule!#REF!</definedName>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 i="5" l="1"/>
  <c r="AE24" i="5"/>
  <c r="AB23" i="5"/>
  <c r="AC23" i="5"/>
  <c r="AD23" i="5"/>
  <c r="AA22" i="5"/>
  <c r="AB22" i="5"/>
  <c r="AC22" i="5"/>
  <c r="AD22" i="5"/>
  <c r="B47" i="5"/>
  <c r="A48" i="5" s="1"/>
  <c r="E35" i="5"/>
  <c r="E38" i="5"/>
  <c r="E37" i="5"/>
  <c r="E39" i="5"/>
  <c r="E40" i="5"/>
  <c r="E41" i="5"/>
  <c r="D43" i="5"/>
  <c r="E43" i="5" s="1"/>
  <c r="D44" i="5"/>
  <c r="E44" i="5" s="1"/>
  <c r="E26" i="5"/>
  <c r="F26" i="5" s="1"/>
  <c r="E27" i="5"/>
  <c r="F27" i="5" s="1"/>
  <c r="E28" i="5"/>
  <c r="F28" i="5" s="1"/>
  <c r="E29" i="5"/>
  <c r="F29" i="5" s="1"/>
  <c r="E31" i="5"/>
  <c r="F31" i="5" s="1"/>
  <c r="B15" i="5"/>
  <c r="E18" i="5" s="1"/>
  <c r="F19" i="5"/>
  <c r="F20" i="5"/>
  <c r="E20" i="5" s="1"/>
  <c r="E19" i="5"/>
  <c r="AA18" i="5"/>
  <c r="L13" i="5"/>
  <c r="AD13" i="5" s="1"/>
  <c r="AE13" i="5" s="1"/>
  <c r="B20" i="5"/>
  <c r="N29" i="5"/>
  <c r="P29" i="5"/>
  <c r="M30" i="5"/>
  <c r="M32" i="5"/>
  <c r="A10" i="5"/>
  <c r="B46" i="5"/>
  <c r="AA13" i="5" l="1"/>
  <c r="AB13" i="5" s="1"/>
  <c r="AF13" i="5"/>
  <c r="F18" i="5"/>
  <c r="F21" i="5" s="1"/>
  <c r="F52" i="5" s="1"/>
  <c r="AC13" i="5"/>
  <c r="AE22" i="5"/>
  <c r="AE23" i="5"/>
  <c r="E46" i="5"/>
  <c r="E24" i="5" s="1"/>
  <c r="E21" i="5"/>
  <c r="E47" i="5"/>
  <c r="E25" i="5" s="1"/>
  <c r="F25" i="5" s="1"/>
  <c r="E48" i="5"/>
  <c r="B24" i="5" s="1"/>
  <c r="F24" i="5" l="1"/>
  <c r="B30" i="5"/>
  <c r="E30" i="5" s="1"/>
  <c r="F30" i="5" s="1"/>
  <c r="F32" i="5" s="1"/>
  <c r="AF22" i="5"/>
  <c r="E52" i="5"/>
  <c r="Z13" i="5" s="1"/>
  <c r="E32" i="5" l="1"/>
  <c r="E54" i="5" s="1"/>
  <c r="Z9" i="5"/>
  <c r="AA9" i="5"/>
  <c r="F51" i="5"/>
  <c r="F53" i="5" s="1"/>
  <c r="E51" i="5"/>
  <c r="F55" i="5"/>
  <c r="E55" i="5"/>
  <c r="F54" i="5" l="1"/>
  <c r="AA19" i="5"/>
  <c r="AC9" i="5"/>
  <c r="L14" i="5"/>
  <c r="E53" i="5"/>
  <c r="N16" i="5" s="1"/>
  <c r="O31" i="5" s="1"/>
  <c r="Z15" i="5" l="1"/>
  <c r="AA15" i="5"/>
  <c r="AD15" i="5"/>
  <c r="P32" i="5" l="1"/>
  <c r="P30" i="5"/>
  <c r="P31" i="5"/>
  <c r="N32" i="5"/>
  <c r="N30" i="5"/>
  <c r="N31" i="5"/>
  <c r="O30" i="5"/>
  <c r="O32" i="5"/>
</calcChain>
</file>

<file path=xl/sharedStrings.xml><?xml version="1.0" encoding="utf-8"?>
<sst xmlns="http://schemas.openxmlformats.org/spreadsheetml/2006/main" count="176" uniqueCount="150">
  <si>
    <t xml:space="preserve">  Numbers in Blue can be edited/changed for individual producers</t>
  </si>
  <si>
    <t>Calf Information</t>
  </si>
  <si>
    <t>Sale Weight (lbs)</t>
  </si>
  <si>
    <t>Health &amp; Vet. Expenses ($/hd)</t>
  </si>
  <si>
    <t>Marketing/Trucking ($/hd)</t>
  </si>
  <si>
    <t>Yardage</t>
  </si>
  <si>
    <t>Interest</t>
  </si>
  <si>
    <t>Sale Price ($/lb)</t>
  </si>
  <si>
    <t>Feed Requirements</t>
  </si>
  <si>
    <t>$/tonne</t>
  </si>
  <si>
    <t>Percent DM</t>
  </si>
  <si>
    <t>Hay</t>
  </si>
  <si>
    <t>Haylage</t>
  </si>
  <si>
    <t>Corn Silage</t>
  </si>
  <si>
    <t>Dry Corn</t>
  </si>
  <si>
    <t>Beef Supplement</t>
  </si>
  <si>
    <t>Salt &amp; Mineral</t>
  </si>
  <si>
    <t>Total Feed Cost</t>
  </si>
  <si>
    <t>Risk Analysis</t>
  </si>
  <si>
    <t>Expected Sale price</t>
  </si>
  <si>
    <t xml:space="preserve">  $$$ Beef Cow Cost of Production Calculator $$$</t>
  </si>
  <si>
    <t>Cow Information</t>
  </si>
  <si>
    <t># of Cows</t>
  </si>
  <si>
    <t>Days on Stored Feed</t>
  </si>
  <si>
    <t>Average Cow Weight (lbs)</t>
  </si>
  <si>
    <t>Days on Pasture</t>
  </si>
  <si>
    <t>% DM Intake (2.5% of body wt)</t>
  </si>
  <si>
    <t>Cow Costs</t>
  </si>
  <si>
    <t>$/Cow</t>
  </si>
  <si>
    <t xml:space="preserve"> Herd Cost</t>
  </si>
  <si>
    <t>Feed Cost</t>
  </si>
  <si>
    <t>Winter Feed Cost</t>
  </si>
  <si>
    <t>Expected values:</t>
  </si>
  <si>
    <t>Pasture Cost</t>
  </si>
  <si>
    <t>(from Calculator)</t>
  </si>
  <si>
    <t>Key Cow-calf Risk Variables:</t>
  </si>
  <si>
    <t>+ / -   %</t>
  </si>
  <si>
    <t>Sale price ranges around the Expected Sale Price</t>
  </si>
  <si>
    <t>Breeding ($/hd)</t>
  </si>
  <si>
    <t>Cost per lb of calf produced ranges around the Expected Cost</t>
  </si>
  <si>
    <t>Interest on Operating ($/hd)</t>
  </si>
  <si>
    <t>Interpreting the Table:</t>
  </si>
  <si>
    <t># of Calves Retained</t>
  </si>
  <si>
    <t>Average Weaning Weight (lbs)</t>
  </si>
  <si>
    <t>Average Value ($/lb)</t>
  </si>
  <si>
    <t>Total Value of Retained Calves</t>
  </si>
  <si>
    <t>Below</t>
  </si>
  <si>
    <t>Expected</t>
  </si>
  <si>
    <t>Above</t>
  </si>
  <si>
    <t>lbs. per Head/Day</t>
  </si>
  <si>
    <t>Sale Price</t>
  </si>
  <si>
    <t>$/day</t>
  </si>
  <si>
    <t>Number of Days</t>
  </si>
  <si>
    <t>Pasture</t>
  </si>
  <si>
    <t>Aftermath Grazing</t>
  </si>
  <si>
    <t>Cost to Produce a lb of Calf</t>
  </si>
  <si>
    <t>Profit (Loss) per Cow</t>
  </si>
  <si>
    <t>Profit (Loss) for the herd</t>
  </si>
  <si>
    <t>Joanne Handley, Beef Cattle Program Lead</t>
  </si>
  <si>
    <t>Nancy Noecker, Beef Cow-Calf Specialist</t>
  </si>
  <si>
    <t>Beef Cow Cost of Production Calculator</t>
  </si>
  <si>
    <t>The calculator can evaluate past performance, as well as projecting ahead.  It allows you to look at “What if” scenarios, whether they are feed costs or value of calves.  Just overwrite the blue numbers on the sample cost of production calculator.</t>
  </si>
  <si>
    <t xml:space="preserve">Remember the information provided by the calculator is only as accurate as the information you enter. </t>
  </si>
  <si>
    <t>Calf Return</t>
  </si>
  <si>
    <t>#  of calves Marketed</t>
  </si>
  <si>
    <t>Total Cash Income</t>
  </si>
  <si>
    <t># Of Cull Cows</t>
  </si>
  <si>
    <t xml:space="preserve">Value of Cull Cows ($/hd) </t>
  </si>
  <si>
    <t>Value of Animals sold for breeding($/hd)</t>
  </si>
  <si>
    <t># sold for Breeding</t>
  </si>
  <si>
    <t>Cow Herd Costs</t>
  </si>
  <si>
    <t>* Yardage ($/hd/day)</t>
  </si>
  <si>
    <t>* Yardage is hydro, telephone, taxes &amp; insurance, bedding, manure removal, housing, equip. repairs</t>
  </si>
  <si>
    <t># Purchased</t>
  </si>
  <si>
    <t>Cost ($/hd)</t>
  </si>
  <si>
    <t># Raised</t>
  </si>
  <si>
    <t>Value of Raised Replacement</t>
  </si>
  <si>
    <t>Livestock Sales</t>
  </si>
  <si>
    <t>Income from Cow Herd</t>
  </si>
  <si>
    <t>Calves Sold</t>
  </si>
  <si>
    <t>Cull Cows Sold</t>
  </si>
  <si>
    <t>Breeding Stock Sold</t>
  </si>
  <si>
    <t>Herd Income</t>
  </si>
  <si>
    <t>Total Cow Costs</t>
  </si>
  <si>
    <t xml:space="preserve">Replacements </t>
  </si>
  <si>
    <t>Aftermath Grazing (Days)</t>
  </si>
  <si>
    <t>Calves Produced</t>
  </si>
  <si>
    <t xml:space="preserve">Return/lb of Calf </t>
  </si>
  <si>
    <t xml:space="preserve">Profit (Loss) per lb of Calf </t>
  </si>
  <si>
    <t>Actual DM Offered</t>
  </si>
  <si>
    <t>Bred Replacements</t>
  </si>
  <si>
    <t>Producers need to input their cow information, days on stored feed, pasture and aftermath grazing.  Days on stored feed, pasture and aftermath grazing must add to 365 days (1 year) or a warning will appear.</t>
  </si>
  <si>
    <t>The Income from Cow Herd section summarizes the cash income for the year and includes calves sold, cull animals and breeding stock sold.</t>
  </si>
  <si>
    <t>The Feed Requirements Section allows you to enter the feed fed to the cow herd on an annual basis, only include the feed fed to the cows that have the potential to calve in the year you are assessing.  Enter your feed costs per tonne and the lbs fed per head per day of each feed fed.  This will calculate your stored feed costs based on the number of days entered at the top of the page.  To ensure your feed values entered are realistic, dry matter offered is calculated and compared to the potential dry matter intake based on the body weight of your cows.  If the dry matter offered is less than 2.1% or greater than 2.7% of body weight a warning will appear and you need to reassess your feed fed.  Enter your pasture costs and aftermath grazing costs as dollars per day.  The number of days will be transferred from the top of the page.  This information will calculate the annual feed costs per cow.</t>
  </si>
  <si>
    <t xml:space="preserve">The calf information section allows you to project your returns on your calf crop.  You fill in the number marketed and retained, their average weight and sale price or average value. </t>
  </si>
  <si>
    <t>Returns**</t>
  </si>
  <si>
    <t>This calculator is designed to assist producers in determining their annual cost of production for their cow-calf herd. It provides an assessment of feed costs, the cost and return to produce a lb of calf, based on either the number of calves produced (accrual basis) or the number of calves actually sold (cash basis), the profit (loss) per lb of calf produced,  per cow and on a herd basis.</t>
  </si>
  <si>
    <t>Cost per lb of calf produced</t>
  </si>
  <si>
    <t xml:space="preserve">Net Return per lb of calf produced </t>
  </si>
  <si>
    <t>What has more impact on net return for your operation? A change in price or a change in costs?</t>
  </si>
  <si>
    <t xml:space="preserve">Line up the various columns and the rows to determine the  impact on the Net return per lb of calf produced for each combination. </t>
  </si>
  <si>
    <t>to enter  various numbers to represent the percentage amounts that the sale prices and COP could vary by. The results are displayed in the table below.</t>
  </si>
  <si>
    <t xml:space="preserve">You can assess the impact of increases or decreases in sale prices and COP on you net return/lb of calf produced, by using the boxes on the right </t>
  </si>
  <si>
    <t xml:space="preserve">The expected sale price you entered and the  and cost of production that you calculated in the cow-calf calculator are displayed below on the left. </t>
  </si>
  <si>
    <t xml:space="preserve">Conversely, market price decreases and increases in your COP will have a negative impact on your net return. </t>
  </si>
  <si>
    <t xml:space="preserve">Expected returns are subject to the risk of  fluctuations in both the revenue and expenses. Sale prices and costs of production (COP) are the key risk </t>
  </si>
  <si>
    <t xml:space="preserve"> center of the table.  The boxes around the expected return indicate the change in your net return per lb of calf produced</t>
  </si>
  <si>
    <t xml:space="preserve"> based on the possible range (ex. + or - 10%) you entered  for the key variables.</t>
  </si>
  <si>
    <t>variables in the cow calf enterprise.  Increases in prices received and decreases in your COP will have positive impacts on your net return.</t>
  </si>
  <si>
    <t>The expected Net return per lb of calf produced is based on the information you entered in the calculator and is in the highlighted box in the</t>
  </si>
  <si>
    <t xml:space="preserve">$ / lb </t>
  </si>
  <si>
    <t>Expected Cost per lb of calf produced</t>
  </si>
  <si>
    <t>plus</t>
  </si>
  <si>
    <t>negative</t>
  </si>
  <si>
    <t>expected</t>
  </si>
  <si>
    <t>new sale price</t>
  </si>
  <si>
    <t>new $ sale</t>
  </si>
  <si>
    <t>new return/lb</t>
  </si>
  <si>
    <t>new cost</t>
  </si>
  <si>
    <t>Expected Net Return per lb of calf produced</t>
  </si>
  <si>
    <t>value of weaned calves</t>
  </si>
  <si>
    <t>breakeven price</t>
  </si>
  <si>
    <t xml:space="preserve">The bred replacements section requires you to input the number of bred females purchased for replacements and/or the number of bred females raised on farm and an average cost/value.  Only include replacements entering the herd that will calve and/or wean a calf in the year you are assessing/forecasting.  The value of the raised replacements will be used in the total costs when looking at costs on an accrural basis.  </t>
  </si>
  <si>
    <t>stddev</t>
  </si>
  <si>
    <t>average</t>
  </si>
  <si>
    <t>opt</t>
  </si>
  <si>
    <t>prob</t>
  </si>
  <si>
    <t>John Molenhuis, Business Analysis and Cost of Production Program Lead</t>
  </si>
  <si>
    <t>For more information contact:</t>
  </si>
  <si>
    <t>Agricultural Information Contact Centre</t>
  </si>
  <si>
    <t>1-877-424-1300</t>
  </si>
  <si>
    <t>Budget Developed by:</t>
  </si>
  <si>
    <t>Heifer Development Cost ($/heifer/yr)</t>
  </si>
  <si>
    <t>The Cow Costs section examines your variables costs which include health and vet, breeding, yardage, feed costs and amount fed.  Yardage is a cost per head per day and includes hydro, telephone, taxes, insurance, bedding, manure removal, housing and equipment repairs attributable to the cow-calf herd.  Interest is only on operating loans and does not include long term loans. The heifer development cost is the cost per heifer to raise your own replacements on an annual basis. This value is used in determining cash costs on an annual basis.</t>
  </si>
  <si>
    <t xml:space="preserve">Yardage is a cost per head per day and includes hydro, telephone, taxes, insurance, bedding, manure removal, housing and equipment repairs attributable to the cow-calf herd.  Interest is only on operating loans and does not include long term loans. </t>
  </si>
  <si>
    <t>The livestock sales section allows you to track other income other than weaned calves that is attributable to the cow herd.  Enter the number of cull cows and bulls sold as well as any cattle sold for breeding purposes and their average value.</t>
  </si>
  <si>
    <t>Steer</t>
  </si>
  <si>
    <t>Heifer</t>
  </si>
  <si>
    <t>Fed</t>
  </si>
  <si>
    <t>DDGS</t>
  </si>
  <si>
    <r>
      <t xml:space="preserve">The Returns section provides the analysis of the information entered.  There are two columns: </t>
    </r>
    <r>
      <rPr>
        <b/>
        <sz val="12"/>
        <rFont val="Arial"/>
        <family val="2"/>
      </rPr>
      <t xml:space="preserve"> Calves Produced</t>
    </r>
    <r>
      <rPr>
        <sz val="12"/>
        <rFont val="Arial"/>
        <family val="2"/>
      </rPr>
      <t xml:space="preserve"> looks at the total production of the cow herd for the year and includes the total weight and value of calves produced, both sold and retained.  In this column retained calves are valued and considered "sold" to a separate enterprise (i.e. bull development, heifer development, backgrounding), therefore the cow herd is credited for the total production and value of all weaned calves for that year.  Raised replacements entering the herd as bred heifers are "purchased" by the cow herd at fair market value and included in the cow herd costs.</t>
    </r>
  </si>
  <si>
    <r>
      <t>Calves Sold</t>
    </r>
    <r>
      <rPr>
        <sz val="12"/>
        <rFont val="Arial"/>
        <family val="2"/>
      </rPr>
      <t xml:space="preserve"> includes only actual cash costs and returns for the year.  Only the calves marketed are included and the total cow costs are adjusted to include the annual heifer development cost for each raised replacement entering the herd instead of the full market value for raised replacements.  This column allows you to assess your returns for the year on a cash in and out basis to determine if the cow herd is generating the required cash flow to meet debt servicing requirements.  </t>
    </r>
  </si>
  <si>
    <r>
      <t>**Returns:</t>
    </r>
    <r>
      <rPr>
        <sz val="12"/>
        <rFont val="Arial"/>
        <family val="2"/>
      </rPr>
      <t xml:space="preserve"> </t>
    </r>
    <r>
      <rPr>
        <b/>
        <sz val="12"/>
        <rFont val="Arial"/>
        <family val="2"/>
      </rPr>
      <t>Calves Produced</t>
    </r>
    <r>
      <rPr>
        <sz val="12"/>
        <rFont val="Arial"/>
        <family val="2"/>
      </rPr>
      <t xml:space="preserve"> includes all calves produced by the herd, both sold and retained. The value of the retained calves is included in the</t>
    </r>
  </si>
  <si>
    <t>calculation of the return/lb of calf. Raised replacements are included in the Cow Herd Costs at fair market value.</t>
  </si>
  <si>
    <r>
      <t>Calves Sold</t>
    </r>
    <r>
      <rPr>
        <sz val="12"/>
        <rFont val="Arial"/>
        <family val="2"/>
      </rPr>
      <t xml:space="preserve"> includes only actual cash costs and returns. Only the calves marketed are counted and the total cow costs are adjusted to include an </t>
    </r>
  </si>
  <si>
    <t xml:space="preserve"> annual heifer development cost instead of the full market value for raised replacements.</t>
  </si>
  <si>
    <t>ag.info.omafra@ontario.ca</t>
  </si>
  <si>
    <t>Ontario Ministry of Agriculture &amp; Food Website</t>
  </si>
  <si>
    <t>This is a cost of production budgeting tool that has 2 worksheets. There are fields that can be completed by the user. It is up to 21 columns wide and 252 rows.</t>
  </si>
  <si>
    <t>Revised: Jan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</si>
</sst>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00"/>
    <numFmt numFmtId="169" formatCode="0.0%"/>
    <numFmt numFmtId="170" formatCode="_(* #,##0.0_);_(* \(#,##0.0\);_(* &quot;-&quot;?_);_(@_)"/>
    <numFmt numFmtId="171" formatCode="_(&quot;$&quot;* #,##0_);_(&quot;$&quot;* \(#,##0\);_(&quot;$&quot;* &quot;-&quot;??_);_(@_)"/>
    <numFmt numFmtId="172" formatCode="_(&quot;$&quot;* #,##0.00_);_(&quot;$&quot;* \(#,##0.00\);_(&quot;$&quot;* &quot;-&quot;_);_(@_)"/>
    <numFmt numFmtId="173" formatCode="_(* #,##0.00_);_(* \(#,##0.00\);_(* &quot;-&quot;?_);_(@_)"/>
    <numFmt numFmtId="174" formatCode="0_);\(0\)"/>
    <numFmt numFmtId="177" formatCode="_-* #,##0.0_-;\-* #,##0.0_-;_-* &quot;-&quot;?_-;_-@_-"/>
  </numFmts>
  <fonts count="28" x14ac:knownFonts="1">
    <font>
      <sz val="10"/>
      <name val="Arial"/>
    </font>
    <font>
      <sz val="10"/>
      <name val="Arial"/>
      <family val="2"/>
    </font>
    <font>
      <sz val="12"/>
      <name val="Times New Roman"/>
      <family val="1"/>
    </font>
    <font>
      <u/>
      <sz val="9"/>
      <color indexed="12"/>
      <name val="Arial"/>
      <family val="2"/>
    </font>
    <font>
      <b/>
      <sz val="20"/>
      <name val="Arial"/>
      <family val="2"/>
    </font>
    <font>
      <b/>
      <sz val="14"/>
      <color indexed="12"/>
      <name val="Arial"/>
      <family val="2"/>
    </font>
    <font>
      <b/>
      <sz val="12"/>
      <color indexed="10"/>
      <name val="Arial"/>
      <family val="2"/>
    </font>
    <font>
      <sz val="12"/>
      <name val="Arial"/>
      <family val="2"/>
    </font>
    <font>
      <b/>
      <sz val="12"/>
      <name val="Arial"/>
      <family val="2"/>
    </font>
    <font>
      <b/>
      <sz val="12"/>
      <color indexed="8"/>
      <name val="Arial"/>
      <family val="2"/>
    </font>
    <font>
      <b/>
      <sz val="12"/>
      <color indexed="12"/>
      <name val="Arial"/>
      <family val="2"/>
    </font>
    <font>
      <b/>
      <sz val="10"/>
      <name val="Arial"/>
      <family val="2"/>
    </font>
    <font>
      <sz val="10"/>
      <color indexed="10"/>
      <name val="Arial"/>
      <family val="2"/>
    </font>
    <font>
      <b/>
      <sz val="14"/>
      <name val="Arial"/>
      <family val="2"/>
    </font>
    <font>
      <sz val="14"/>
      <name val="Arial"/>
      <family val="2"/>
    </font>
    <font>
      <b/>
      <sz val="16"/>
      <name val="Arial"/>
      <family val="2"/>
    </font>
    <font>
      <b/>
      <sz val="20"/>
      <color indexed="17"/>
      <name val="Arial"/>
      <family val="2"/>
    </font>
    <font>
      <b/>
      <sz val="14"/>
      <color indexed="10"/>
      <name val="Arial"/>
      <family val="2"/>
    </font>
    <font>
      <sz val="10"/>
      <color indexed="14"/>
      <name val="Arial"/>
      <family val="2"/>
    </font>
    <font>
      <sz val="10"/>
      <color indexed="43"/>
      <name val="Arial"/>
      <family val="2"/>
    </font>
    <font>
      <sz val="10"/>
      <color indexed="8"/>
      <name val="Arial"/>
      <family val="2"/>
    </font>
    <font>
      <sz val="8"/>
      <name val="Arial"/>
      <family val="2"/>
    </font>
    <font>
      <u/>
      <sz val="12"/>
      <color indexed="12"/>
      <name val="Arial"/>
      <family val="2"/>
    </font>
    <font>
      <sz val="12"/>
      <color indexed="8"/>
      <name val="Arial"/>
      <family val="2"/>
    </font>
    <font>
      <sz val="10"/>
      <name val="Courier"/>
      <family val="3"/>
    </font>
    <font>
      <u/>
      <sz val="10"/>
      <color theme="10"/>
      <name val="Arial"/>
      <family val="2"/>
    </font>
    <font>
      <b/>
      <sz val="12"/>
      <color theme="1"/>
      <name val="Arial"/>
      <family val="2"/>
    </font>
    <font>
      <b/>
      <sz val="10"/>
      <color theme="1"/>
      <name val="Arial"/>
      <family val="2"/>
    </font>
  </fonts>
  <fills count="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rgb="FFFFFF99"/>
        <bgColor indexed="64"/>
      </patternFill>
    </fill>
    <fill>
      <patternFill patternType="solid">
        <fgColor rgb="FFCC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12"/>
      </left>
      <right style="medium">
        <color indexed="12"/>
      </right>
      <top style="medium">
        <color indexed="12"/>
      </top>
      <bottom style="medium">
        <color indexed="1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166" fontId="2"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1" fillId="0" borderId="0"/>
    <xf numFmtId="0" fontId="24" fillId="0" borderId="0"/>
    <xf numFmtId="0" fontId="25" fillId="0" borderId="0" applyNumberFormat="0" applyFill="0" applyBorder="0" applyAlignment="0" applyProtection="0"/>
  </cellStyleXfs>
  <cellXfs count="233">
    <xf numFmtId="0" fontId="0" fillId="0" borderId="0" xfId="0"/>
    <xf numFmtId="0" fontId="1" fillId="0" borderId="0" xfId="4"/>
    <xf numFmtId="171" fontId="5" fillId="2" borderId="0" xfId="3" applyNumberFormat="1" applyFont="1" applyFill="1" applyBorder="1"/>
    <xf numFmtId="0" fontId="1" fillId="2" borderId="0" xfId="4" applyFill="1"/>
    <xf numFmtId="0" fontId="1" fillId="2" borderId="0" xfId="4" applyFill="1" applyBorder="1"/>
    <xf numFmtId="0" fontId="6" fillId="2" borderId="0" xfId="4" applyFont="1" applyFill="1"/>
    <xf numFmtId="0" fontId="7" fillId="2" borderId="0" xfId="4" applyFont="1" applyFill="1"/>
    <xf numFmtId="0" fontId="8" fillId="2" borderId="0" xfId="4" applyFont="1" applyFill="1"/>
    <xf numFmtId="0" fontId="9" fillId="2" borderId="1" xfId="4" applyFont="1" applyFill="1" applyBorder="1"/>
    <xf numFmtId="165" fontId="10" fillId="2" borderId="1" xfId="4" applyNumberFormat="1" applyFont="1" applyFill="1" applyBorder="1" applyProtection="1">
      <protection locked="0"/>
    </xf>
    <xf numFmtId="0" fontId="8" fillId="2" borderId="1" xfId="4" applyFont="1" applyFill="1" applyBorder="1"/>
    <xf numFmtId="0" fontId="1" fillId="2" borderId="0" xfId="4" applyFont="1" applyFill="1" applyBorder="1"/>
    <xf numFmtId="0" fontId="1" fillId="0" borderId="0" xfId="4" applyFill="1" applyBorder="1"/>
    <xf numFmtId="164" fontId="6" fillId="2" borderId="0" xfId="4" applyNumberFormat="1" applyFont="1" applyFill="1" applyBorder="1"/>
    <xf numFmtId="166" fontId="6" fillId="2" borderId="1" xfId="1" applyFont="1" applyFill="1" applyBorder="1"/>
    <xf numFmtId="164" fontId="10" fillId="2" borderId="1" xfId="1" applyNumberFormat="1" applyFont="1" applyFill="1" applyBorder="1" applyProtection="1">
      <protection locked="0"/>
    </xf>
    <xf numFmtId="166" fontId="10" fillId="2" borderId="1" xfId="1" applyFont="1" applyFill="1" applyBorder="1" applyProtection="1">
      <protection locked="0"/>
    </xf>
    <xf numFmtId="0" fontId="12" fillId="2" borderId="0" xfId="4" applyFont="1" applyFill="1"/>
    <xf numFmtId="37" fontId="10" fillId="2" borderId="1" xfId="1" applyNumberFormat="1" applyFont="1" applyFill="1" applyBorder="1" applyProtection="1">
      <protection locked="0"/>
    </xf>
    <xf numFmtId="43" fontId="1" fillId="2" borderId="0" xfId="4" applyNumberFormat="1" applyFill="1"/>
    <xf numFmtId="0" fontId="14" fillId="2" borderId="0" xfId="3" applyFont="1" applyFill="1"/>
    <xf numFmtId="0" fontId="1" fillId="2" borderId="0" xfId="4" applyFont="1" applyFill="1"/>
    <xf numFmtId="0" fontId="1" fillId="3" borderId="0" xfId="4" applyFill="1"/>
    <xf numFmtId="9" fontId="10" fillId="2" borderId="2" xfId="4" applyNumberFormat="1" applyFont="1" applyFill="1" applyBorder="1" applyAlignment="1" applyProtection="1">
      <alignment horizontal="center"/>
      <protection locked="0"/>
    </xf>
    <xf numFmtId="0" fontId="1" fillId="2" borderId="0" xfId="4" applyFont="1" applyFill="1" applyBorder="1" applyAlignment="1">
      <alignment horizontal="left"/>
    </xf>
    <xf numFmtId="0" fontId="7" fillId="2" borderId="0" xfId="4" applyFont="1" applyFill="1" applyAlignment="1">
      <alignment horizontal="right"/>
    </xf>
    <xf numFmtId="0" fontId="1" fillId="0" borderId="0" xfId="4" applyFill="1"/>
    <xf numFmtId="0" fontId="0" fillId="2" borderId="0" xfId="0" applyFill="1"/>
    <xf numFmtId="0" fontId="4" fillId="3" borderId="0" xfId="4" applyFont="1" applyFill="1" applyAlignment="1"/>
    <xf numFmtId="0" fontId="13" fillId="3" borderId="3" xfId="4" applyFont="1" applyFill="1" applyBorder="1"/>
    <xf numFmtId="0" fontId="1" fillId="3" borderId="4" xfId="4" applyFill="1" applyBorder="1"/>
    <xf numFmtId="0" fontId="1" fillId="3" borderId="4" xfId="4" applyFont="1" applyFill="1" applyBorder="1"/>
    <xf numFmtId="0" fontId="1" fillId="3" borderId="5" xfId="4" applyFill="1" applyBorder="1"/>
    <xf numFmtId="0" fontId="1" fillId="2" borderId="7" xfId="4" applyFill="1" applyBorder="1"/>
    <xf numFmtId="0" fontId="8" fillId="2" borderId="8" xfId="4" applyFont="1" applyFill="1" applyBorder="1"/>
    <xf numFmtId="1" fontId="10" fillId="2" borderId="1" xfId="4" applyNumberFormat="1" applyFont="1" applyFill="1" applyBorder="1" applyProtection="1">
      <protection locked="0"/>
    </xf>
    <xf numFmtId="0" fontId="1" fillId="2" borderId="10" xfId="4" applyFill="1" applyBorder="1"/>
    <xf numFmtId="0" fontId="1" fillId="2" borderId="10" xfId="4" applyFont="1" applyFill="1" applyBorder="1"/>
    <xf numFmtId="0" fontId="1" fillId="2" borderId="11" xfId="4" applyFill="1" applyBorder="1"/>
    <xf numFmtId="0" fontId="1" fillId="2" borderId="4" xfId="4" applyFill="1" applyBorder="1"/>
    <xf numFmtId="0" fontId="11" fillId="2" borderId="4" xfId="4" applyFont="1" applyFill="1" applyBorder="1" applyAlignment="1">
      <alignment horizontal="right"/>
    </xf>
    <xf numFmtId="0" fontId="8" fillId="2" borderId="4" xfId="4" applyFont="1" applyFill="1" applyBorder="1" applyAlignment="1">
      <alignment horizontal="center"/>
    </xf>
    <xf numFmtId="0" fontId="11" fillId="2" borderId="4" xfId="4" applyFont="1" applyFill="1" applyBorder="1"/>
    <xf numFmtId="0" fontId="1" fillId="2" borderId="5" xfId="4" applyFill="1" applyBorder="1"/>
    <xf numFmtId="0" fontId="8" fillId="2" borderId="0" xfId="4" applyFont="1" applyFill="1" applyBorder="1" applyAlignment="1">
      <alignment horizontal="center"/>
    </xf>
    <xf numFmtId="0" fontId="11" fillId="2" borderId="0" xfId="4" applyFont="1" applyFill="1" applyBorder="1" applyAlignment="1">
      <alignment horizontal="right"/>
    </xf>
    <xf numFmtId="0" fontId="11" fillId="2" borderId="0" xfId="4" applyFont="1" applyFill="1" applyBorder="1"/>
    <xf numFmtId="0" fontId="8" fillId="2" borderId="0" xfId="4" quotePrefix="1" applyFont="1" applyFill="1" applyBorder="1" applyAlignment="1">
      <alignment horizontal="center"/>
    </xf>
    <xf numFmtId="0" fontId="1" fillId="2" borderId="0" xfId="4" applyFont="1" applyFill="1" applyBorder="1" applyAlignment="1">
      <alignment horizontal="right"/>
    </xf>
    <xf numFmtId="9" fontId="10" fillId="2" borderId="0" xfId="4" applyNumberFormat="1" applyFont="1" applyFill="1" applyBorder="1" applyAlignment="1" applyProtection="1">
      <alignment horizontal="center"/>
      <protection locked="0"/>
    </xf>
    <xf numFmtId="166" fontId="8" fillId="2" borderId="0" xfId="4" applyNumberFormat="1" applyFont="1" applyFill="1" applyBorder="1"/>
    <xf numFmtId="166" fontId="8" fillId="2" borderId="10" xfId="4" applyNumberFormat="1" applyFont="1" applyFill="1" applyBorder="1"/>
    <xf numFmtId="0" fontId="1" fillId="2" borderId="10" xfId="4" applyFont="1" applyFill="1" applyBorder="1" applyAlignment="1">
      <alignment horizontal="right"/>
    </xf>
    <xf numFmtId="9" fontId="10" fillId="2" borderId="10" xfId="4" applyNumberFormat="1" applyFont="1" applyFill="1" applyBorder="1" applyAlignment="1" applyProtection="1">
      <alignment horizontal="center"/>
      <protection locked="0"/>
    </xf>
    <xf numFmtId="0" fontId="1" fillId="2" borderId="10" xfId="4" applyFont="1" applyFill="1" applyBorder="1" applyAlignment="1">
      <alignment horizontal="left"/>
    </xf>
    <xf numFmtId="164" fontId="10" fillId="2" borderId="1" xfId="4" applyNumberFormat="1" applyFont="1" applyFill="1" applyBorder="1" applyProtection="1">
      <protection locked="0"/>
    </xf>
    <xf numFmtId="166" fontId="8" fillId="2" borderId="4" xfId="4" applyNumberFormat="1" applyFont="1" applyFill="1" applyBorder="1"/>
    <xf numFmtId="0" fontId="1" fillId="2" borderId="4" xfId="4" applyFont="1" applyFill="1" applyBorder="1" applyAlignment="1">
      <alignment horizontal="right"/>
    </xf>
    <xf numFmtId="9" fontId="10" fillId="2" borderId="4" xfId="4" applyNumberFormat="1" applyFont="1" applyFill="1" applyBorder="1" applyAlignment="1" applyProtection="1">
      <alignment horizontal="center"/>
      <protection locked="0"/>
    </xf>
    <xf numFmtId="0" fontId="1" fillId="2" borderId="4" xfId="4" applyFont="1" applyFill="1" applyBorder="1" applyAlignment="1">
      <alignment horizontal="left"/>
    </xf>
    <xf numFmtId="0" fontId="1" fillId="2" borderId="6" xfId="4" applyFill="1" applyBorder="1"/>
    <xf numFmtId="0" fontId="7" fillId="2" borderId="12" xfId="4" applyFont="1" applyFill="1" applyBorder="1"/>
    <xf numFmtId="0" fontId="7" fillId="2" borderId="7" xfId="4" applyFont="1" applyFill="1" applyBorder="1"/>
    <xf numFmtId="0" fontId="7" fillId="4" borderId="0" xfId="4" applyFont="1" applyFill="1" applyBorder="1" applyAlignment="1">
      <alignment horizontal="center"/>
    </xf>
    <xf numFmtId="0" fontId="13" fillId="2" borderId="1" xfId="3" applyFont="1" applyFill="1" applyBorder="1"/>
    <xf numFmtId="43" fontId="1" fillId="2" borderId="0" xfId="4" applyNumberFormat="1" applyFill="1" applyProtection="1">
      <protection hidden="1"/>
    </xf>
    <xf numFmtId="9" fontId="7" fillId="4" borderId="13" xfId="4" applyNumberFormat="1" applyFont="1" applyFill="1" applyBorder="1"/>
    <xf numFmtId="9" fontId="7" fillId="4" borderId="14" xfId="4" applyNumberFormat="1" applyFont="1" applyFill="1" applyBorder="1"/>
    <xf numFmtId="0" fontId="1" fillId="2" borderId="9" xfId="4" applyFill="1" applyBorder="1"/>
    <xf numFmtId="0" fontId="17" fillId="2" borderId="1" xfId="3" applyFont="1" applyFill="1" applyBorder="1"/>
    <xf numFmtId="167" fontId="1" fillId="2" borderId="0" xfId="4" applyNumberFormat="1" applyFill="1"/>
    <xf numFmtId="0" fontId="17" fillId="2" borderId="0" xfId="3" applyFont="1" applyFill="1" applyBorder="1"/>
    <xf numFmtId="0" fontId="13" fillId="2" borderId="8" xfId="4" applyFont="1" applyFill="1" applyBorder="1"/>
    <xf numFmtId="0" fontId="11" fillId="2" borderId="15" xfId="4" applyFont="1" applyFill="1" applyBorder="1"/>
    <xf numFmtId="0" fontId="11" fillId="2" borderId="14" xfId="4" applyFont="1" applyFill="1" applyBorder="1"/>
    <xf numFmtId="0" fontId="13" fillId="2" borderId="9" xfId="4" applyFont="1" applyFill="1" applyBorder="1"/>
    <xf numFmtId="0" fontId="11" fillId="2" borderId="10" xfId="4" applyFont="1" applyFill="1" applyBorder="1"/>
    <xf numFmtId="0" fontId="11" fillId="2" borderId="11" xfId="4" applyFont="1" applyFill="1" applyBorder="1"/>
    <xf numFmtId="0" fontId="0" fillId="0" borderId="0" xfId="0" applyAlignment="1">
      <alignment vertical="top"/>
    </xf>
    <xf numFmtId="0" fontId="1" fillId="2" borderId="1" xfId="4" applyFill="1" applyBorder="1"/>
    <xf numFmtId="0" fontId="8" fillId="2" borderId="1" xfId="3" applyFont="1" applyFill="1" applyBorder="1"/>
    <xf numFmtId="171" fontId="10" fillId="2" borderId="1" xfId="3" applyNumberFormat="1" applyFont="1" applyFill="1" applyBorder="1" applyProtection="1">
      <protection locked="0"/>
    </xf>
    <xf numFmtId="170" fontId="10" fillId="2" borderId="1" xfId="3" applyNumberFormat="1" applyFont="1" applyFill="1" applyBorder="1" applyProtection="1">
      <protection locked="0"/>
    </xf>
    <xf numFmtId="3" fontId="10" fillId="2" borderId="1" xfId="3" applyNumberFormat="1" applyFont="1" applyFill="1" applyBorder="1" applyProtection="1">
      <protection locked="0"/>
    </xf>
    <xf numFmtId="173" fontId="10" fillId="2" borderId="1" xfId="3" applyNumberFormat="1" applyFont="1" applyFill="1" applyBorder="1" applyProtection="1">
      <protection locked="0"/>
    </xf>
    <xf numFmtId="0" fontId="8" fillId="2" borderId="1" xfId="3" applyNumberFormat="1" applyFont="1" applyFill="1" applyBorder="1" applyProtection="1">
      <protection locked="0"/>
    </xf>
    <xf numFmtId="166" fontId="10" fillId="2" borderId="1" xfId="3" applyNumberFormat="1" applyFont="1" applyFill="1" applyBorder="1" applyProtection="1">
      <protection locked="0"/>
    </xf>
    <xf numFmtId="0" fontId="9" fillId="2" borderId="8" xfId="4" applyFont="1" applyFill="1" applyBorder="1" applyAlignment="1">
      <alignment horizontal="left"/>
    </xf>
    <xf numFmtId="1" fontId="8" fillId="2" borderId="0" xfId="4" applyNumberFormat="1" applyFont="1" applyFill="1" applyBorder="1" applyAlignment="1">
      <alignment horizontal="center"/>
    </xf>
    <xf numFmtId="0" fontId="8" fillId="2" borderId="0" xfId="4" applyFont="1" applyFill="1" applyAlignment="1">
      <alignment horizontal="center"/>
    </xf>
    <xf numFmtId="171" fontId="8" fillId="2" borderId="0" xfId="3" applyNumberFormat="1" applyFont="1" applyFill="1" applyBorder="1" applyAlignment="1" applyProtection="1">
      <alignment horizontal="center"/>
      <protection locked="0"/>
    </xf>
    <xf numFmtId="0" fontId="8" fillId="2" borderId="0" xfId="3" applyNumberFormat="1" applyFont="1" applyFill="1" applyBorder="1" applyAlignment="1" applyProtection="1">
      <protection locked="0"/>
    </xf>
    <xf numFmtId="0" fontId="8" fillId="2" borderId="8" xfId="3" applyFont="1" applyFill="1" applyBorder="1"/>
    <xf numFmtId="166" fontId="10" fillId="2" borderId="15" xfId="3" applyNumberFormat="1" applyFont="1" applyFill="1" applyBorder="1" applyProtection="1">
      <protection locked="0"/>
    </xf>
    <xf numFmtId="164" fontId="10" fillId="2" borderId="0" xfId="4" applyNumberFormat="1" applyFont="1" applyFill="1" applyBorder="1"/>
    <xf numFmtId="0" fontId="7" fillId="2" borderId="0" xfId="4" applyFont="1" applyFill="1" applyBorder="1"/>
    <xf numFmtId="0" fontId="9" fillId="2" borderId="9" xfId="4" applyFont="1" applyFill="1" applyBorder="1" applyAlignment="1">
      <alignment horizontal="left"/>
    </xf>
    <xf numFmtId="0" fontId="0" fillId="2" borderId="10" xfId="0" applyFill="1" applyBorder="1" applyAlignment="1"/>
    <xf numFmtId="0" fontId="7" fillId="2" borderId="16" xfId="4" applyFont="1" applyFill="1" applyBorder="1"/>
    <xf numFmtId="0" fontId="8" fillId="2" borderId="14" xfId="3" applyFont="1" applyFill="1" applyBorder="1"/>
    <xf numFmtId="0" fontId="8" fillId="2" borderId="8" xfId="3" applyFont="1" applyFill="1" applyBorder="1" applyAlignment="1"/>
    <xf numFmtId="0" fontId="8" fillId="2" borderId="4" xfId="3" applyFont="1" applyFill="1" applyBorder="1" applyAlignment="1">
      <alignment horizontal="center"/>
    </xf>
    <xf numFmtId="0" fontId="7" fillId="2" borderId="4" xfId="4" applyFont="1" applyFill="1" applyBorder="1"/>
    <xf numFmtId="0" fontId="8" fillId="2" borderId="4" xfId="3" applyFont="1" applyFill="1" applyBorder="1" applyAlignment="1"/>
    <xf numFmtId="0" fontId="13" fillId="2" borderId="4" xfId="3" applyFont="1" applyFill="1" applyBorder="1" applyAlignment="1">
      <alignment horizontal="centerContinuous"/>
    </xf>
    <xf numFmtId="0" fontId="8" fillId="2" borderId="5" xfId="3" applyFont="1" applyFill="1" applyBorder="1" applyAlignment="1">
      <alignment horizontal="center"/>
    </xf>
    <xf numFmtId="0" fontId="7" fillId="2" borderId="0" xfId="4" applyFont="1" applyFill="1" applyBorder="1" applyProtection="1">
      <protection locked="0"/>
    </xf>
    <xf numFmtId="171" fontId="10" fillId="2" borderId="6" xfId="3" applyNumberFormat="1" applyFont="1" applyFill="1" applyBorder="1" applyProtection="1">
      <protection locked="0"/>
    </xf>
    <xf numFmtId="3" fontId="10" fillId="2" borderId="7" xfId="3" applyNumberFormat="1" applyFont="1" applyFill="1" applyBorder="1" applyProtection="1">
      <protection locked="0"/>
    </xf>
    <xf numFmtId="0" fontId="7" fillId="2" borderId="0" xfId="3" applyFont="1" applyFill="1" applyBorder="1"/>
    <xf numFmtId="0" fontId="8" fillId="2" borderId="7" xfId="3" applyFont="1" applyFill="1" applyBorder="1"/>
    <xf numFmtId="0" fontId="12" fillId="2" borderId="7" xfId="0" applyFont="1" applyFill="1" applyBorder="1" applyAlignment="1"/>
    <xf numFmtId="39" fontId="8" fillId="2" borderId="0" xfId="1" applyNumberFormat="1" applyFont="1" applyFill="1" applyBorder="1" applyAlignment="1">
      <alignment horizontal="center" wrapText="1"/>
    </xf>
    <xf numFmtId="0" fontId="8" fillId="2" borderId="0" xfId="4" applyFont="1" applyFill="1" applyAlignment="1">
      <alignment horizontal="center" wrapText="1"/>
    </xf>
    <xf numFmtId="0" fontId="1" fillId="2" borderId="14" xfId="4" applyFill="1" applyBorder="1"/>
    <xf numFmtId="0" fontId="1" fillId="2" borderId="8" xfId="4" applyFill="1" applyBorder="1"/>
    <xf numFmtId="0" fontId="19" fillId="2" borderId="0" xfId="4" applyFont="1" applyFill="1" applyProtection="1">
      <protection hidden="1"/>
    </xf>
    <xf numFmtId="166" fontId="7" fillId="5" borderId="14" xfId="4" applyNumberFormat="1" applyFont="1" applyFill="1" applyBorder="1"/>
    <xf numFmtId="0" fontId="8" fillId="5" borderId="13" xfId="4" applyFont="1" applyFill="1" applyBorder="1"/>
    <xf numFmtId="0" fontId="7" fillId="5" borderId="17" xfId="4" applyFont="1" applyFill="1" applyBorder="1" applyAlignment="1">
      <alignment horizontal="centerContinuous"/>
    </xf>
    <xf numFmtId="0" fontId="7" fillId="5" borderId="15" xfId="4" applyFont="1" applyFill="1" applyBorder="1" applyAlignment="1">
      <alignment horizontal="centerContinuous"/>
    </xf>
    <xf numFmtId="0" fontId="8" fillId="5" borderId="8" xfId="4" applyFont="1" applyFill="1" applyBorder="1" applyAlignment="1">
      <alignment horizontal="centerContinuous"/>
    </xf>
    <xf numFmtId="0" fontId="7" fillId="2" borderId="5" xfId="4" applyFont="1" applyFill="1" applyBorder="1"/>
    <xf numFmtId="0" fontId="7" fillId="2" borderId="18" xfId="4" applyFont="1" applyFill="1" applyBorder="1"/>
    <xf numFmtId="0" fontId="1" fillId="2" borderId="19" xfId="4" applyFill="1" applyBorder="1" applyAlignment="1">
      <alignment horizontal="centerContinuous"/>
    </xf>
    <xf numFmtId="0" fontId="1" fillId="2" borderId="0" xfId="4" applyFill="1" applyBorder="1" applyAlignment="1">
      <alignment horizontal="centerContinuous"/>
    </xf>
    <xf numFmtId="0" fontId="11" fillId="2" borderId="12" xfId="4" applyFont="1" applyFill="1" applyBorder="1" applyAlignment="1">
      <alignment horizontal="centerContinuous"/>
    </xf>
    <xf numFmtId="0" fontId="1" fillId="2" borderId="20" xfId="4" applyFill="1" applyBorder="1" applyAlignment="1">
      <alignment horizontal="centerContinuous"/>
    </xf>
    <xf numFmtId="0" fontId="1" fillId="2" borderId="21" xfId="4" applyFill="1" applyBorder="1" applyAlignment="1">
      <alignment horizontal="centerContinuous"/>
    </xf>
    <xf numFmtId="0" fontId="8" fillId="2" borderId="22" xfId="4" applyFont="1" applyFill="1" applyBorder="1" applyAlignment="1">
      <alignment horizontal="centerContinuous"/>
    </xf>
    <xf numFmtId="9" fontId="7" fillId="4" borderId="23" xfId="4" applyNumberFormat="1" applyFont="1" applyFill="1" applyBorder="1" applyAlignment="1">
      <alignment horizontal="center"/>
    </xf>
    <xf numFmtId="0" fontId="7" fillId="4" borderId="23" xfId="4" applyFont="1" applyFill="1" applyBorder="1" applyAlignment="1">
      <alignment horizontal="center"/>
    </xf>
    <xf numFmtId="9" fontId="7" fillId="4" borderId="11" xfId="4" applyNumberFormat="1" applyFont="1" applyFill="1" applyBorder="1" applyAlignment="1">
      <alignment horizontal="center"/>
    </xf>
    <xf numFmtId="9" fontId="7" fillId="4" borderId="24" xfId="4" applyNumberFormat="1" applyFont="1" applyFill="1" applyBorder="1" applyAlignment="1">
      <alignment horizontal="center"/>
    </xf>
    <xf numFmtId="0" fontId="7" fillId="4" borderId="13" xfId="4" applyFont="1" applyFill="1" applyBorder="1"/>
    <xf numFmtId="9" fontId="7" fillId="4" borderId="11" xfId="4" applyNumberFormat="1" applyFont="1" applyFill="1" applyBorder="1"/>
    <xf numFmtId="0" fontId="7" fillId="4" borderId="25" xfId="4" applyFont="1" applyFill="1" applyBorder="1"/>
    <xf numFmtId="9" fontId="7" fillId="4" borderId="26" xfId="4" applyNumberFormat="1" applyFont="1" applyFill="1" applyBorder="1"/>
    <xf numFmtId="1" fontId="10" fillId="2" borderId="14" xfId="4" applyNumberFormat="1" applyFont="1" applyFill="1" applyBorder="1" applyProtection="1">
      <protection locked="0"/>
    </xf>
    <xf numFmtId="37" fontId="10" fillId="2" borderId="1" xfId="4" applyNumberFormat="1" applyFont="1" applyFill="1" applyBorder="1" applyProtection="1">
      <protection locked="0"/>
    </xf>
    <xf numFmtId="174" fontId="10" fillId="2" borderId="1" xfId="4" applyNumberFormat="1" applyFont="1" applyFill="1" applyBorder="1" applyProtection="1">
      <protection locked="0"/>
    </xf>
    <xf numFmtId="0" fontId="10" fillId="2" borderId="1" xfId="3" applyFont="1" applyFill="1" applyBorder="1" applyProtection="1">
      <protection locked="0"/>
    </xf>
    <xf numFmtId="37" fontId="6" fillId="2" borderId="15" xfId="3" applyNumberFormat="1" applyFont="1" applyFill="1" applyBorder="1" applyProtection="1"/>
    <xf numFmtId="164" fontId="6" fillId="2" borderId="15" xfId="4" applyNumberFormat="1" applyFont="1" applyFill="1" applyBorder="1" applyProtection="1"/>
    <xf numFmtId="166" fontId="8" fillId="0" borderId="1" xfId="4" applyNumberFormat="1" applyFont="1" applyBorder="1" applyProtection="1"/>
    <xf numFmtId="39" fontId="8" fillId="6" borderId="27" xfId="4" applyNumberFormat="1" applyFont="1" applyFill="1" applyBorder="1"/>
    <xf numFmtId="39" fontId="8" fillId="0" borderId="17" xfId="4" applyNumberFormat="1" applyFont="1" applyBorder="1"/>
    <xf numFmtId="0" fontId="1" fillId="0" borderId="0" xfId="4" applyFont="1"/>
    <xf numFmtId="166" fontId="1" fillId="0" borderId="0" xfId="4" applyNumberFormat="1"/>
    <xf numFmtId="164" fontId="1" fillId="0" borderId="0" xfId="4" applyNumberFormat="1"/>
    <xf numFmtId="168" fontId="1" fillId="0" borderId="0" xfId="4" applyNumberFormat="1"/>
    <xf numFmtId="166" fontId="8" fillId="6" borderId="1" xfId="4" applyNumberFormat="1" applyFont="1" applyFill="1" applyBorder="1"/>
    <xf numFmtId="166" fontId="8" fillId="2" borderId="0" xfId="4" applyNumberFormat="1" applyFont="1" applyFill="1" applyBorder="1" applyProtection="1"/>
    <xf numFmtId="39" fontId="8" fillId="0" borderId="14" xfId="4" applyNumberFormat="1" applyFont="1" applyBorder="1"/>
    <xf numFmtId="39" fontId="8" fillId="0" borderId="5" xfId="4" applyNumberFormat="1" applyFont="1" applyBorder="1"/>
    <xf numFmtId="39" fontId="8" fillId="0" borderId="28" xfId="4" applyNumberFormat="1" applyFont="1" applyBorder="1"/>
    <xf numFmtId="39" fontId="8" fillId="0" borderId="15" xfId="4" applyNumberFormat="1" applyFont="1" applyBorder="1"/>
    <xf numFmtId="39" fontId="8" fillId="0" borderId="26" xfId="4" applyNumberFormat="1" applyFont="1" applyBorder="1"/>
    <xf numFmtId="39" fontId="8" fillId="0" borderId="29" xfId="4" applyNumberFormat="1" applyFont="1" applyBorder="1"/>
    <xf numFmtId="39" fontId="8" fillId="0" borderId="30" xfId="4" applyNumberFormat="1" applyFont="1" applyBorder="1"/>
    <xf numFmtId="0" fontId="0" fillId="2" borderId="24" xfId="0" applyFill="1" applyBorder="1" applyAlignment="1"/>
    <xf numFmtId="169" fontId="1" fillId="0" borderId="0" xfId="4" applyNumberFormat="1"/>
    <xf numFmtId="167" fontId="1" fillId="0" borderId="0" xfId="4" applyNumberFormat="1"/>
    <xf numFmtId="0" fontId="0" fillId="0" borderId="0" xfId="0" applyFill="1"/>
    <xf numFmtId="0" fontId="0" fillId="0" borderId="0" xfId="0" applyFill="1" applyAlignment="1">
      <alignment vertical="top"/>
    </xf>
    <xf numFmtId="0" fontId="1" fillId="2" borderId="4" xfId="4" applyFill="1" applyBorder="1" applyAlignment="1">
      <alignment horizontal="centerContinuous"/>
    </xf>
    <xf numFmtId="0" fontId="1" fillId="2" borderId="10" xfId="4" applyFill="1" applyBorder="1" applyAlignment="1">
      <alignment horizontal="centerContinuous"/>
    </xf>
    <xf numFmtId="164" fontId="1" fillId="2" borderId="0" xfId="4" applyNumberFormat="1" applyFill="1"/>
    <xf numFmtId="17" fontId="0" fillId="0" borderId="0" xfId="0" applyNumberFormat="1"/>
    <xf numFmtId="0" fontId="16" fillId="3" borderId="0" xfId="4" applyFont="1" applyFill="1" applyAlignment="1"/>
    <xf numFmtId="0" fontId="18" fillId="2" borderId="14" xfId="0" applyFont="1" applyFill="1" applyBorder="1" applyAlignment="1"/>
    <xf numFmtId="0" fontId="15" fillId="0" borderId="0" xfId="0" applyFont="1" applyFill="1" applyAlignment="1"/>
    <xf numFmtId="0" fontId="0" fillId="0" borderId="0" xfId="0" applyFill="1" applyAlignment="1">
      <alignment wrapText="1"/>
    </xf>
    <xf numFmtId="0" fontId="0" fillId="0" borderId="0" xfId="0" applyFill="1" applyAlignment="1"/>
    <xf numFmtId="0" fontId="0" fillId="0" borderId="0" xfId="0" applyFill="1" applyAlignment="1">
      <alignment vertical="top" wrapText="1"/>
    </xf>
    <xf numFmtId="0" fontId="18" fillId="7" borderId="4" xfId="0" applyFont="1" applyFill="1" applyBorder="1" applyAlignment="1"/>
    <xf numFmtId="0" fontId="0" fillId="7" borderId="0" xfId="0" applyFill="1" applyAlignment="1">
      <alignment wrapText="1"/>
    </xf>
    <xf numFmtId="0" fontId="20" fillId="7" borderId="0" xfId="0" applyFont="1" applyFill="1" applyAlignment="1">
      <alignment wrapText="1"/>
    </xf>
    <xf numFmtId="0" fontId="1" fillId="2" borderId="0" xfId="4" applyFill="1" applyAlignment="1"/>
    <xf numFmtId="0" fontId="1" fillId="0" borderId="0" xfId="4" applyAlignment="1"/>
    <xf numFmtId="0" fontId="0" fillId="7" borderId="0" xfId="0" applyFill="1" applyAlignment="1">
      <alignment vertical="top" wrapText="1"/>
    </xf>
    <xf numFmtId="0" fontId="1" fillId="2" borderId="0" xfId="4" applyFill="1" applyAlignment="1">
      <alignment vertical="top"/>
    </xf>
    <xf numFmtId="0" fontId="1" fillId="0" borderId="0" xfId="4" applyAlignment="1">
      <alignment vertical="top"/>
    </xf>
    <xf numFmtId="0" fontId="7" fillId="2" borderId="0" xfId="0" applyFont="1" applyFill="1" applyAlignment="1">
      <alignment wrapText="1"/>
    </xf>
    <xf numFmtId="0" fontId="7" fillId="2" borderId="0" xfId="0" applyFont="1" applyFill="1"/>
    <xf numFmtId="0" fontId="8" fillId="2" borderId="0" xfId="0" applyFont="1" applyFill="1" applyAlignment="1">
      <alignment wrapText="1"/>
    </xf>
    <xf numFmtId="0" fontId="7" fillId="2" borderId="0" xfId="0" applyFont="1" applyFill="1" applyAlignment="1">
      <alignment vertical="top" wrapText="1"/>
    </xf>
    <xf numFmtId="0" fontId="8" fillId="2" borderId="0" xfId="0" applyFont="1" applyFill="1" applyAlignment="1">
      <alignment vertical="top"/>
    </xf>
    <xf numFmtId="0" fontId="8" fillId="2" borderId="0" xfId="0" applyFont="1" applyFill="1"/>
    <xf numFmtId="0" fontId="7" fillId="2" borderId="4" xfId="0" applyFont="1" applyFill="1" applyBorder="1" applyAlignment="1">
      <alignment horizontal="center"/>
    </xf>
    <xf numFmtId="0" fontId="7" fillId="2" borderId="0" xfId="0" applyFont="1" applyFill="1" applyAlignment="1">
      <alignment horizontal="center"/>
    </xf>
    <xf numFmtId="0" fontId="22" fillId="2" borderId="0" xfId="2" applyFont="1" applyFill="1" applyAlignment="1" applyProtection="1">
      <alignment horizontal="center"/>
    </xf>
    <xf numFmtId="0" fontId="22" fillId="2" borderId="10" xfId="2" applyFont="1" applyFill="1" applyBorder="1" applyAlignment="1" applyProtection="1">
      <alignment horizontal="center"/>
    </xf>
    <xf numFmtId="0" fontId="7" fillId="2" borderId="4" xfId="4" applyFont="1" applyFill="1" applyBorder="1" applyAlignment="1">
      <alignment horizontal="centerContinuous"/>
    </xf>
    <xf numFmtId="0" fontId="7" fillId="2" borderId="0" xfId="4" quotePrefix="1" applyFont="1" applyFill="1" applyBorder="1" applyAlignment="1">
      <alignment horizontal="centerContinuous"/>
    </xf>
    <xf numFmtId="0" fontId="22" fillId="2" borderId="0" xfId="2" applyFont="1" applyFill="1" applyBorder="1" applyAlignment="1" applyProtection="1">
      <alignment horizontal="centerContinuous"/>
    </xf>
    <xf numFmtId="0" fontId="22" fillId="2" borderId="10" xfId="2" applyFont="1" applyFill="1" applyBorder="1" applyAlignment="1" applyProtection="1">
      <alignment horizontal="centerContinuous"/>
    </xf>
    <xf numFmtId="0" fontId="8" fillId="2" borderId="0" xfId="4" applyFont="1" applyFill="1" applyAlignment="1">
      <alignment horizontal="left"/>
    </xf>
    <xf numFmtId="0" fontId="7" fillId="2" borderId="0" xfId="4" applyFont="1" applyFill="1" applyAlignment="1">
      <alignment horizontal="left" vertical="top"/>
    </xf>
    <xf numFmtId="0" fontId="8" fillId="2" borderId="0" xfId="4" applyFont="1" applyFill="1" applyAlignment="1"/>
    <xf numFmtId="0" fontId="7" fillId="2" borderId="0" xfId="4" applyFont="1" applyFill="1" applyAlignment="1">
      <alignment vertical="top"/>
    </xf>
    <xf numFmtId="0" fontId="7" fillId="2" borderId="6" xfId="4" applyFont="1" applyFill="1" applyBorder="1"/>
    <xf numFmtId="0" fontId="7" fillId="2" borderId="9" xfId="4" applyFont="1" applyFill="1" applyBorder="1"/>
    <xf numFmtId="0" fontId="8" fillId="2" borderId="3" xfId="4" applyFont="1" applyFill="1" applyBorder="1"/>
    <xf numFmtId="0" fontId="8" fillId="2" borderId="6" xfId="4" applyFont="1" applyFill="1" applyBorder="1"/>
    <xf numFmtId="0" fontId="7" fillId="2" borderId="6" xfId="4" applyFont="1" applyFill="1" applyBorder="1" applyAlignment="1">
      <alignment horizontal="left" indent="6"/>
    </xf>
    <xf numFmtId="0" fontId="8" fillId="2" borderId="4" xfId="4" applyFont="1" applyFill="1" applyBorder="1"/>
    <xf numFmtId="0" fontId="8" fillId="2" borderId="0" xfId="4" applyFont="1" applyFill="1" applyBorder="1" applyAlignment="1">
      <alignment horizontal="right"/>
    </xf>
    <xf numFmtId="0" fontId="7" fillId="2" borderId="0" xfId="4" applyFont="1" applyFill="1" applyBorder="1" applyAlignment="1">
      <alignment horizontal="right"/>
    </xf>
    <xf numFmtId="0" fontId="7" fillId="2" borderId="3" xfId="4" applyFont="1" applyFill="1" applyBorder="1"/>
    <xf numFmtId="0" fontId="8" fillId="0" borderId="0" xfId="5" applyFont="1"/>
    <xf numFmtId="0" fontId="15" fillId="8" borderId="0" xfId="0" applyFont="1" applyFill="1" applyAlignment="1">
      <alignment horizontal="center"/>
    </xf>
    <xf numFmtId="0" fontId="23" fillId="2" borderId="6" xfId="4" applyFont="1" applyFill="1" applyBorder="1" applyAlignment="1"/>
    <xf numFmtId="177" fontId="1" fillId="2" borderId="0" xfId="4" applyNumberFormat="1" applyFill="1"/>
    <xf numFmtId="0" fontId="26" fillId="2" borderId="0" xfId="4" applyFont="1" applyFill="1"/>
    <xf numFmtId="0" fontId="26" fillId="2" borderId="0" xfId="4" applyFont="1" applyFill="1" applyBorder="1"/>
    <xf numFmtId="164" fontId="26" fillId="2" borderId="1" xfId="4" applyNumberFormat="1" applyFont="1" applyFill="1" applyBorder="1" applyProtection="1"/>
    <xf numFmtId="0" fontId="26" fillId="2" borderId="0" xfId="4" applyNumberFormat="1" applyFont="1" applyFill="1" applyBorder="1" applyAlignment="1" applyProtection="1">
      <alignment wrapText="1"/>
      <protection locked="0"/>
    </xf>
    <xf numFmtId="164" fontId="26" fillId="2" borderId="1" xfId="1" applyNumberFormat="1" applyFont="1" applyFill="1" applyBorder="1" applyProtection="1"/>
    <xf numFmtId="166" fontId="26" fillId="2" borderId="1" xfId="4" applyNumberFormat="1" applyFont="1" applyFill="1" applyBorder="1" applyProtection="1"/>
    <xf numFmtId="166" fontId="26" fillId="2" borderId="1" xfId="1" applyNumberFormat="1" applyFont="1" applyFill="1" applyBorder="1" applyProtection="1"/>
    <xf numFmtId="0" fontId="26" fillId="2" borderId="3" xfId="4" applyFont="1" applyFill="1" applyBorder="1"/>
    <xf numFmtId="37" fontId="26" fillId="2" borderId="1" xfId="3" applyNumberFormat="1" applyFont="1" applyFill="1" applyBorder="1" applyProtection="1"/>
    <xf numFmtId="37" fontId="26" fillId="2" borderId="23" xfId="3" applyNumberFormat="1" applyFont="1" applyFill="1" applyBorder="1" applyProtection="1"/>
    <xf numFmtId="164" fontId="26" fillId="2" borderId="23" xfId="4" applyNumberFormat="1" applyFont="1" applyFill="1" applyBorder="1" applyProtection="1"/>
    <xf numFmtId="167" fontId="26" fillId="2" borderId="1" xfId="4" applyNumberFormat="1" applyFont="1" applyFill="1" applyBorder="1" applyProtection="1"/>
    <xf numFmtId="4" fontId="26" fillId="2" borderId="24" xfId="3" applyNumberFormat="1" applyFont="1" applyFill="1" applyBorder="1" applyProtection="1"/>
    <xf numFmtId="172" fontId="26" fillId="2" borderId="1" xfId="4" applyNumberFormat="1" applyFont="1" applyFill="1" applyBorder="1" applyProtection="1"/>
    <xf numFmtId="164" fontId="26" fillId="2" borderId="8" xfId="4" applyNumberFormat="1" applyFont="1" applyFill="1" applyBorder="1" applyProtection="1"/>
    <xf numFmtId="166" fontId="26" fillId="2" borderId="24" xfId="4" applyNumberFormat="1" applyFont="1" applyFill="1" applyBorder="1" applyProtection="1"/>
    <xf numFmtId="166" fontId="26" fillId="2" borderId="1" xfId="4" applyNumberFormat="1" applyFont="1" applyFill="1" applyBorder="1"/>
    <xf numFmtId="0" fontId="27" fillId="2" borderId="4" xfId="4" applyNumberFormat="1" applyFont="1" applyFill="1" applyBorder="1" applyAlignment="1" applyProtection="1">
      <alignment wrapText="1"/>
      <protection locked="0"/>
    </xf>
    <xf numFmtId="0" fontId="27" fillId="2" borderId="8" xfId="4" applyNumberFormat="1" applyFont="1" applyFill="1" applyBorder="1" applyAlignment="1" applyProtection="1">
      <alignment wrapText="1"/>
      <protection locked="0"/>
    </xf>
  </cellXfs>
  <cellStyles count="7">
    <cellStyle name="Currency_BeefProd1" xfId="1" xr:uid="{00000000-0005-0000-0000-000000000000}"/>
    <cellStyle name="Hyperlink" xfId="2" builtinId="8"/>
    <cellStyle name="Hyperlink 2" xfId="6" xr:uid="{00000000-0005-0000-0000-000002000000}"/>
    <cellStyle name="Normal" xfId="0" builtinId="0"/>
    <cellStyle name="Normal_calffeed" xfId="3" xr:uid="{00000000-0005-0000-0000-000004000000}"/>
    <cellStyle name="Normal_Calfpro" xfId="4" xr:uid="{00000000-0005-0000-0000-000005000000}"/>
    <cellStyle name="Normal_Raspc2" xfId="5" xr:uid="{00000000-0005-0000-0000-000006000000}"/>
  </cellStyles>
  <dxfs count="1">
    <dxf>
      <font>
        <condense val="0"/>
        <extend val="0"/>
        <color indexed="10"/>
      </font>
    </dxf>
  </dxfs>
  <tableStyles count="0" defaultTableStyle="TableStyleMedium2" defaultPivotStyle="PivotStyleLight16"/>
  <colors>
    <mruColors>
      <color rgb="FFCCFFCC"/>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1780186</xdr:colOff>
      <xdr:row>1</xdr:row>
      <xdr:rowOff>4989</xdr:rowOff>
    </xdr:to>
    <xdr:pic>
      <xdr:nvPicPr>
        <xdr:cNvPr id="3" name="Picture 2">
          <a:extLst>
            <a:ext uri="{FF2B5EF4-FFF2-40B4-BE49-F238E27FC236}">
              <a16:creationId xmlns:a16="http://schemas.microsoft.com/office/drawing/2014/main" id="{4738B274-002C-4B6D-9771-465D53546A7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0" y="0"/>
          <a:ext cx="1780186" cy="4145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omafra.gov.on.ca/Documents%20and%20Settings/JHandley/Local%20Settings/Temp/LoanCalc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sheetName val="Dialog1"/>
      <sheetName val="Balance"/>
      <sheetName val="P+I"/>
      <sheetName val="Compare"/>
      <sheetName val="Prepay"/>
      <sheetName val="Refinance"/>
      <sheetName val="InterestRate"/>
      <sheetName val="Time"/>
      <sheetName val="Max"/>
      <sheetName val="Tips"/>
      <sheetName val="Module1"/>
      <sheetName val="Module3"/>
      <sheetName val="Module4"/>
      <sheetName val="SetToolbars"/>
      <sheetName val="Module5"/>
    </sheetNames>
    <sheetDataSet>
      <sheetData sheetId="0">
        <row r="2">
          <cell r="R2">
            <v>7</v>
          </cell>
        </row>
      </sheetData>
      <sheetData sheetId="1"/>
      <sheetData sheetId="2" refreshError="1"/>
      <sheetData sheetId="3" refreshError="1"/>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maf.gov.on.c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maf.gov.on.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A1:L42"/>
  <sheetViews>
    <sheetView showGridLines="0" zoomScaleNormal="100" workbookViewId="0">
      <selection activeCell="A6" sqref="A6"/>
    </sheetView>
  </sheetViews>
  <sheetFormatPr defaultRowHeight="12.75" x14ac:dyDescent="0.2"/>
  <cols>
    <col min="1" max="1" width="114.42578125" customWidth="1"/>
    <col min="6" max="6" width="14.140625" customWidth="1"/>
    <col min="10" max="12" width="9.140625" style="163"/>
  </cols>
  <sheetData>
    <row r="1" spans="1:9" ht="32.25" customHeight="1" x14ac:dyDescent="0.2"/>
    <row r="2" spans="1:9" ht="20.25" x14ac:dyDescent="0.3">
      <c r="A2" s="211" t="s">
        <v>60</v>
      </c>
      <c r="B2" s="171"/>
      <c r="C2" s="171"/>
      <c r="D2" s="171"/>
      <c r="E2" s="171"/>
      <c r="F2" s="171"/>
      <c r="G2" s="171"/>
      <c r="H2" s="171"/>
      <c r="I2" s="171"/>
    </row>
    <row r="3" spans="1:9" x14ac:dyDescent="0.2">
      <c r="A3" s="27"/>
      <c r="B3" s="163"/>
      <c r="C3" s="163"/>
      <c r="D3" s="163"/>
      <c r="E3" s="163"/>
      <c r="F3" s="163"/>
      <c r="G3" s="163"/>
      <c r="H3" s="163"/>
      <c r="I3" s="163"/>
    </row>
    <row r="4" spans="1:9" ht="64.5" customHeight="1" x14ac:dyDescent="0.2">
      <c r="A4" s="183" t="s">
        <v>96</v>
      </c>
      <c r="B4" s="172"/>
      <c r="C4" s="172"/>
      <c r="D4" s="172"/>
      <c r="E4" s="172"/>
      <c r="F4" s="172"/>
      <c r="G4" s="173"/>
      <c r="H4" s="173"/>
      <c r="I4" s="173"/>
    </row>
    <row r="5" spans="1:9" ht="9" customHeight="1" x14ac:dyDescent="0.2">
      <c r="A5" s="183"/>
      <c r="B5" s="172"/>
      <c r="C5" s="172"/>
      <c r="D5" s="172"/>
      <c r="E5" s="172"/>
      <c r="F5" s="172"/>
      <c r="G5" s="173"/>
      <c r="H5" s="173"/>
      <c r="I5" s="173"/>
    </row>
    <row r="6" spans="1:9" ht="48.75" customHeight="1" x14ac:dyDescent="0.2">
      <c r="A6" s="183" t="s">
        <v>61</v>
      </c>
      <c r="B6" s="172"/>
      <c r="C6" s="172"/>
      <c r="D6" s="172"/>
      <c r="E6" s="172"/>
      <c r="F6" s="172"/>
      <c r="G6" s="173"/>
      <c r="H6" s="173"/>
      <c r="I6" s="173"/>
    </row>
    <row r="7" spans="1:9" ht="9" customHeight="1" x14ac:dyDescent="0.2">
      <c r="A7" s="183"/>
      <c r="B7" s="172"/>
      <c r="C7" s="172"/>
      <c r="D7" s="172"/>
      <c r="E7" s="172"/>
      <c r="F7" s="172"/>
      <c r="G7" s="173"/>
      <c r="H7" s="173"/>
      <c r="I7" s="173"/>
    </row>
    <row r="8" spans="1:9" ht="39.6" customHeight="1" x14ac:dyDescent="0.2">
      <c r="A8" s="183" t="s">
        <v>91</v>
      </c>
      <c r="B8" s="172"/>
      <c r="C8" s="172"/>
      <c r="D8" s="172"/>
      <c r="E8" s="172"/>
      <c r="F8" s="172"/>
      <c r="G8" s="173"/>
      <c r="H8" s="173"/>
      <c r="I8" s="173"/>
    </row>
    <row r="9" spans="1:9" ht="9" customHeight="1" x14ac:dyDescent="0.2">
      <c r="A9" s="183"/>
      <c r="B9" s="172"/>
      <c r="C9" s="172"/>
      <c r="D9" s="172"/>
      <c r="E9" s="172"/>
      <c r="F9" s="172"/>
      <c r="G9" s="173"/>
      <c r="H9" s="173"/>
      <c r="I9" s="173"/>
    </row>
    <row r="10" spans="1:9" ht="51" customHeight="1" x14ac:dyDescent="0.2">
      <c r="A10" s="183" t="s">
        <v>134</v>
      </c>
      <c r="B10" s="172"/>
      <c r="C10" s="172"/>
      <c r="D10" s="172"/>
      <c r="E10" s="172"/>
      <c r="F10" s="172"/>
      <c r="G10" s="173"/>
      <c r="H10" s="173"/>
      <c r="I10" s="173"/>
    </row>
    <row r="11" spans="1:9" ht="9" customHeight="1" x14ac:dyDescent="0.2">
      <c r="A11" s="184"/>
      <c r="B11" s="163"/>
      <c r="C11" s="163"/>
      <c r="D11" s="163"/>
      <c r="E11" s="163"/>
      <c r="F11" s="163"/>
      <c r="G11" s="163"/>
      <c r="H11" s="163"/>
      <c r="I11" s="163"/>
    </row>
    <row r="12" spans="1:9" ht="49.5" customHeight="1" x14ac:dyDescent="0.2">
      <c r="A12" s="183" t="s">
        <v>61</v>
      </c>
      <c r="B12" s="172"/>
      <c r="C12" s="172"/>
      <c r="D12" s="172"/>
      <c r="E12" s="172"/>
      <c r="F12" s="172"/>
      <c r="G12" s="173"/>
      <c r="H12" s="173"/>
      <c r="I12" s="173"/>
    </row>
    <row r="13" spans="1:9" ht="9" customHeight="1" x14ac:dyDescent="0.2">
      <c r="A13" s="183"/>
      <c r="B13" s="172"/>
      <c r="C13" s="172"/>
      <c r="D13" s="172"/>
      <c r="E13" s="172"/>
      <c r="F13" s="172"/>
      <c r="G13" s="173"/>
      <c r="H13" s="173"/>
      <c r="I13" s="173"/>
    </row>
    <row r="14" spans="1:9" ht="72.75" customHeight="1" x14ac:dyDescent="0.2">
      <c r="A14" s="183" t="s">
        <v>122</v>
      </c>
      <c r="B14" s="173"/>
      <c r="C14" s="173"/>
      <c r="D14" s="173"/>
      <c r="E14" s="173"/>
      <c r="F14" s="173"/>
      <c r="G14" s="173"/>
      <c r="H14" s="173"/>
      <c r="I14" s="173"/>
    </row>
    <row r="15" spans="1:9" ht="9" customHeight="1" x14ac:dyDescent="0.2">
      <c r="A15" s="183"/>
      <c r="B15" s="173"/>
      <c r="C15" s="173"/>
      <c r="D15" s="173"/>
      <c r="E15" s="173"/>
      <c r="F15" s="173"/>
      <c r="G15" s="173"/>
      <c r="H15" s="173"/>
      <c r="I15" s="173"/>
    </row>
    <row r="16" spans="1:9" ht="30.75" customHeight="1" x14ac:dyDescent="0.2">
      <c r="A16" s="183" t="s">
        <v>94</v>
      </c>
      <c r="B16" s="172"/>
      <c r="C16" s="172"/>
      <c r="D16" s="172"/>
      <c r="E16" s="172"/>
      <c r="F16" s="172"/>
      <c r="G16" s="173"/>
      <c r="H16" s="173"/>
      <c r="I16" s="173"/>
    </row>
    <row r="17" spans="1:12" ht="9" customHeight="1" x14ac:dyDescent="0.2">
      <c r="A17" s="184"/>
      <c r="B17" s="163"/>
      <c r="C17" s="163"/>
      <c r="D17" s="163"/>
      <c r="E17" s="163"/>
      <c r="F17" s="163"/>
      <c r="G17" s="163"/>
      <c r="H17" s="163"/>
      <c r="I17" s="163"/>
    </row>
    <row r="18" spans="1:12" ht="49.5" customHeight="1" x14ac:dyDescent="0.2">
      <c r="A18" s="183" t="s">
        <v>135</v>
      </c>
      <c r="B18" s="173"/>
      <c r="C18" s="173"/>
      <c r="D18" s="173"/>
      <c r="E18" s="173"/>
      <c r="F18" s="173"/>
      <c r="G18" s="173"/>
      <c r="H18" s="173"/>
      <c r="I18" s="173"/>
    </row>
    <row r="19" spans="1:12" ht="9" customHeight="1" x14ac:dyDescent="0.2">
      <c r="A19" s="183"/>
      <c r="B19" s="173"/>
      <c r="C19" s="173"/>
      <c r="D19" s="173"/>
      <c r="E19" s="173"/>
      <c r="F19" s="173"/>
      <c r="G19" s="173"/>
      <c r="H19" s="173"/>
      <c r="I19" s="173"/>
    </row>
    <row r="20" spans="1:12" ht="40.5" customHeight="1" x14ac:dyDescent="0.2">
      <c r="A20" s="183" t="s">
        <v>92</v>
      </c>
      <c r="B20" s="173"/>
      <c r="C20" s="173"/>
      <c r="D20" s="173"/>
      <c r="E20" s="173"/>
      <c r="F20" s="173"/>
      <c r="G20" s="173"/>
      <c r="H20" s="173"/>
      <c r="I20" s="173"/>
    </row>
    <row r="21" spans="1:12" ht="9" customHeight="1" x14ac:dyDescent="0.2">
      <c r="A21" s="183"/>
      <c r="B21" s="173"/>
      <c r="C21" s="173"/>
      <c r="D21" s="173"/>
      <c r="E21" s="173"/>
      <c r="F21" s="173"/>
      <c r="G21" s="173"/>
      <c r="H21" s="173"/>
      <c r="I21" s="173"/>
    </row>
    <row r="22" spans="1:12" ht="85.5" customHeight="1" x14ac:dyDescent="0.2">
      <c r="A22" s="183" t="s">
        <v>133</v>
      </c>
      <c r="B22" s="172"/>
      <c r="C22" s="172"/>
      <c r="D22" s="172"/>
      <c r="E22" s="172"/>
      <c r="F22" s="172"/>
      <c r="G22" s="173"/>
      <c r="H22" s="173"/>
      <c r="I22" s="173"/>
    </row>
    <row r="23" spans="1:12" ht="15" x14ac:dyDescent="0.2">
      <c r="A23" s="183"/>
      <c r="B23" s="172"/>
      <c r="C23" s="172"/>
      <c r="D23" s="172"/>
      <c r="E23" s="172"/>
      <c r="F23" s="172"/>
      <c r="G23" s="173"/>
      <c r="H23" s="173"/>
      <c r="I23" s="173"/>
    </row>
    <row r="24" spans="1:12" ht="122.25" customHeight="1" x14ac:dyDescent="0.2">
      <c r="A24" s="183" t="s">
        <v>93</v>
      </c>
      <c r="B24" s="173"/>
      <c r="C24" s="173"/>
      <c r="D24" s="173"/>
      <c r="E24" s="173"/>
      <c r="F24" s="173"/>
      <c r="G24" s="173"/>
      <c r="H24" s="173"/>
      <c r="I24" s="173"/>
    </row>
    <row r="25" spans="1:12" s="78" customFormat="1" ht="6.75" customHeight="1" x14ac:dyDescent="0.2">
      <c r="A25" s="184"/>
      <c r="B25" s="163"/>
      <c r="C25" s="163"/>
      <c r="D25" s="163"/>
      <c r="E25" s="163"/>
      <c r="F25" s="163"/>
      <c r="G25" s="163"/>
      <c r="H25" s="163"/>
      <c r="I25" s="163"/>
      <c r="J25" s="164"/>
      <c r="K25" s="164"/>
      <c r="L25" s="164"/>
    </row>
    <row r="26" spans="1:12" ht="105.75" customHeight="1" x14ac:dyDescent="0.2">
      <c r="A26" s="183" t="s">
        <v>140</v>
      </c>
      <c r="B26" s="172"/>
      <c r="C26" s="172"/>
      <c r="D26" s="172"/>
      <c r="E26" s="172"/>
      <c r="F26" s="172"/>
      <c r="G26" s="172"/>
      <c r="H26" s="172"/>
      <c r="I26" s="172"/>
    </row>
    <row r="27" spans="1:12" ht="9" customHeight="1" x14ac:dyDescent="0.2">
      <c r="A27" s="183"/>
      <c r="B27" s="172"/>
      <c r="C27" s="172"/>
      <c r="D27" s="172"/>
      <c r="E27" s="172"/>
      <c r="F27" s="172"/>
      <c r="G27" s="172"/>
      <c r="H27" s="172"/>
      <c r="I27" s="172"/>
    </row>
    <row r="28" spans="1:12" ht="74.25" customHeight="1" x14ac:dyDescent="0.2">
      <c r="A28" s="185" t="s">
        <v>141</v>
      </c>
      <c r="B28" s="172"/>
      <c r="C28" s="172"/>
      <c r="D28" s="172"/>
      <c r="E28" s="172"/>
      <c r="F28" s="172"/>
      <c r="G28" s="172"/>
      <c r="H28" s="172"/>
      <c r="I28" s="172"/>
    </row>
    <row r="29" spans="1:12" ht="15" x14ac:dyDescent="0.2">
      <c r="A29" s="184"/>
      <c r="B29" s="163"/>
      <c r="C29" s="163"/>
      <c r="D29" s="163"/>
      <c r="E29" s="163"/>
      <c r="F29" s="163"/>
      <c r="G29" s="163"/>
      <c r="H29" s="163"/>
      <c r="I29" s="163"/>
    </row>
    <row r="30" spans="1:12" ht="12.75" customHeight="1" x14ac:dyDescent="0.2">
      <c r="A30" s="186" t="s">
        <v>62</v>
      </c>
      <c r="B30" s="174"/>
      <c r="C30" s="174"/>
      <c r="D30" s="174"/>
      <c r="E30" s="174"/>
      <c r="F30" s="174"/>
      <c r="G30" s="164"/>
      <c r="H30" s="164"/>
      <c r="I30" s="164"/>
    </row>
    <row r="31" spans="1:12" ht="15" x14ac:dyDescent="0.2">
      <c r="A31" s="186"/>
      <c r="B31" s="174"/>
      <c r="C31" s="174"/>
      <c r="D31" s="174"/>
      <c r="E31" s="174"/>
      <c r="F31" s="174"/>
      <c r="G31" s="164"/>
      <c r="H31" s="164"/>
      <c r="I31" s="164"/>
    </row>
    <row r="32" spans="1:12" ht="15.75" x14ac:dyDescent="0.2">
      <c r="A32" s="187" t="s">
        <v>131</v>
      </c>
      <c r="B32" s="174"/>
      <c r="C32" s="174"/>
      <c r="D32" s="174"/>
      <c r="E32" s="174"/>
      <c r="F32" s="174"/>
      <c r="G32" s="164"/>
      <c r="H32" s="164"/>
      <c r="I32" s="164"/>
    </row>
    <row r="33" spans="1:9" ht="15" x14ac:dyDescent="0.2">
      <c r="A33" s="184" t="s">
        <v>58</v>
      </c>
      <c r="B33" s="163"/>
      <c r="C33" s="163"/>
      <c r="D33" s="163"/>
      <c r="E33" s="163"/>
      <c r="F33" s="163"/>
      <c r="G33" s="163"/>
      <c r="H33" s="163"/>
      <c r="I33" s="163"/>
    </row>
    <row r="34" spans="1:9" ht="15" x14ac:dyDescent="0.2">
      <c r="A34" s="184" t="s">
        <v>59</v>
      </c>
      <c r="B34" s="163"/>
      <c r="C34" s="163"/>
      <c r="D34" s="163"/>
      <c r="E34" s="163"/>
      <c r="F34" s="163"/>
      <c r="G34" s="163"/>
      <c r="H34" s="163"/>
      <c r="I34" s="163"/>
    </row>
    <row r="35" spans="1:9" ht="15" x14ac:dyDescent="0.2">
      <c r="A35" s="184" t="s">
        <v>127</v>
      </c>
      <c r="B35" s="163"/>
      <c r="C35" s="163"/>
      <c r="D35" s="163"/>
      <c r="E35" s="163"/>
      <c r="F35" s="163"/>
      <c r="G35" s="163"/>
      <c r="H35" s="163"/>
      <c r="I35" s="163"/>
    </row>
    <row r="36" spans="1:9" ht="15" x14ac:dyDescent="0.2">
      <c r="A36" s="184"/>
      <c r="B36" s="163"/>
      <c r="C36" s="163"/>
      <c r="D36" s="163"/>
      <c r="E36" s="163"/>
      <c r="F36" s="163"/>
      <c r="G36" s="163"/>
      <c r="H36" s="163"/>
      <c r="I36" s="163"/>
    </row>
    <row r="37" spans="1:9" ht="15.75" x14ac:dyDescent="0.25">
      <c r="A37" s="188" t="s">
        <v>128</v>
      </c>
      <c r="B37" s="163"/>
      <c r="C37" s="163"/>
      <c r="D37" s="163"/>
      <c r="E37" s="163"/>
      <c r="F37" s="163"/>
      <c r="G37" s="163"/>
      <c r="H37" s="163"/>
      <c r="I37" s="163"/>
    </row>
    <row r="38" spans="1:9" ht="15.75" x14ac:dyDescent="0.25">
      <c r="A38" s="188"/>
      <c r="B38" s="163"/>
      <c r="C38" s="163"/>
      <c r="D38" s="163"/>
      <c r="E38" s="163"/>
      <c r="F38" s="163"/>
      <c r="G38" s="163"/>
      <c r="H38" s="163"/>
      <c r="I38" s="163"/>
    </row>
    <row r="39" spans="1:9" ht="15" x14ac:dyDescent="0.2">
      <c r="A39" s="189" t="s">
        <v>129</v>
      </c>
      <c r="B39" s="163"/>
      <c r="C39" s="163"/>
      <c r="D39" s="163"/>
      <c r="E39" s="163"/>
      <c r="F39" s="163"/>
      <c r="G39" s="163"/>
      <c r="H39" s="163"/>
      <c r="I39" s="163"/>
    </row>
    <row r="40" spans="1:9" ht="15" x14ac:dyDescent="0.2">
      <c r="A40" s="190" t="s">
        <v>130</v>
      </c>
      <c r="B40" s="163"/>
      <c r="C40" s="163"/>
      <c r="D40" s="163"/>
      <c r="E40" s="163"/>
      <c r="F40" s="163"/>
      <c r="G40" s="163"/>
      <c r="H40" s="163"/>
      <c r="I40" s="163"/>
    </row>
    <row r="41" spans="1:9" ht="15" x14ac:dyDescent="0.2">
      <c r="A41" s="191" t="s">
        <v>146</v>
      </c>
      <c r="B41" s="163"/>
      <c r="C41" s="163"/>
      <c r="D41" s="163"/>
      <c r="E41" s="163"/>
      <c r="F41" s="163"/>
      <c r="G41" s="163"/>
      <c r="H41" s="163"/>
      <c r="I41" s="163"/>
    </row>
    <row r="42" spans="1:9" ht="15" x14ac:dyDescent="0.2">
      <c r="A42" s="192" t="s">
        <v>147</v>
      </c>
      <c r="B42" s="163"/>
      <c r="C42" s="163"/>
      <c r="D42" s="163"/>
      <c r="E42" s="163"/>
      <c r="F42" s="163"/>
      <c r="G42" s="163"/>
      <c r="H42" s="163"/>
      <c r="I42" s="163"/>
    </row>
  </sheetData>
  <phoneticPr fontId="21" type="noConversion"/>
  <hyperlinks>
    <hyperlink ref="A42" r:id="rId1" xr:uid="{00000000-0004-0000-0000-000000000000}"/>
  </hyperlinks>
  <pageMargins left="0.75" right="0.75" top="0.62" bottom="0.74" header="0.5" footer="0.5"/>
  <pageSetup scale="103" orientation="portrait" blackAndWhite="1" r:id="rId2"/>
  <headerFooter alignWithMargins="0"/>
  <rowBreaks count="1" manualBreakCount="1">
    <brk id="2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F82"/>
  <sheetViews>
    <sheetView showGridLines="0" tabSelected="1" zoomScaleNormal="100" zoomScaleSheetLayoutView="100" workbookViewId="0">
      <selection activeCell="A10" sqref="A10"/>
    </sheetView>
  </sheetViews>
  <sheetFormatPr defaultColWidth="10.28515625" defaultRowHeight="12.75" x14ac:dyDescent="0.2"/>
  <cols>
    <col min="1" max="1" width="43.140625" style="1" customWidth="1"/>
    <col min="2" max="2" width="14.28515625" style="1" customWidth="1"/>
    <col min="3" max="3" width="1.5703125" style="1" customWidth="1"/>
    <col min="4" max="4" width="47.42578125" style="1" customWidth="1"/>
    <col min="5" max="6" width="15.5703125" style="1" customWidth="1"/>
    <col min="7" max="7" width="11.28515625" style="1" customWidth="1"/>
    <col min="8" max="9" width="4.140625" style="1" customWidth="1"/>
    <col min="10" max="10" width="5.5703125" style="1" customWidth="1"/>
    <col min="11" max="11" width="39" style="1" customWidth="1"/>
    <col min="12" max="12" width="14.42578125" style="1" customWidth="1"/>
    <col min="13" max="13" width="6.42578125" style="1" customWidth="1"/>
    <col min="14" max="14" width="14.140625" style="1" customWidth="1"/>
    <col min="15" max="15" width="15.5703125" style="1" customWidth="1"/>
    <col min="16" max="16" width="13.140625" style="1" customWidth="1"/>
    <col min="17" max="17" width="14.85546875" style="1" customWidth="1"/>
    <col min="18" max="18" width="15.28515625" style="1" customWidth="1"/>
    <col min="19" max="19" width="21" style="1" customWidth="1"/>
    <col min="20" max="23" width="10.28515625" style="1"/>
    <col min="24" max="34" width="0" style="1" hidden="1" customWidth="1"/>
    <col min="35" max="16384" width="10.28515625" style="1"/>
  </cols>
  <sheetData>
    <row r="1" spans="1:32" ht="15.75" x14ac:dyDescent="0.25">
      <c r="A1" s="210" t="s">
        <v>148</v>
      </c>
    </row>
    <row r="2" spans="1:32" s="26" customFormat="1" ht="26.25" x14ac:dyDescent="0.4">
      <c r="A2" s="169" t="s">
        <v>20</v>
      </c>
      <c r="B2" s="28"/>
      <c r="C2" s="28"/>
      <c r="D2" s="28"/>
      <c r="E2" s="28"/>
      <c r="F2" s="28"/>
      <c r="G2" s="28"/>
      <c r="H2" s="22"/>
      <c r="I2" s="22"/>
      <c r="J2" s="22"/>
      <c r="K2" s="29" t="s">
        <v>18</v>
      </c>
      <c r="L2" s="30"/>
      <c r="M2" s="30"/>
      <c r="N2" s="30"/>
      <c r="O2" s="30"/>
      <c r="P2" s="31"/>
      <c r="Q2" s="30"/>
      <c r="R2" s="30"/>
      <c r="S2" s="32"/>
    </row>
    <row r="3" spans="1:32" ht="18" x14ac:dyDescent="0.25">
      <c r="A3" s="2" t="s">
        <v>0</v>
      </c>
      <c r="B3" s="3"/>
      <c r="C3" s="3"/>
      <c r="D3" s="3"/>
      <c r="E3" s="3"/>
      <c r="F3" s="3"/>
      <c r="G3" s="7" t="s">
        <v>149</v>
      </c>
      <c r="H3" s="3"/>
      <c r="I3" s="3"/>
      <c r="J3" s="3"/>
      <c r="K3" s="201" t="s">
        <v>105</v>
      </c>
      <c r="L3" s="4"/>
      <c r="M3" s="4"/>
      <c r="N3" s="4"/>
      <c r="O3" s="4"/>
      <c r="P3" s="11"/>
      <c r="Q3" s="4"/>
      <c r="R3" s="4"/>
      <c r="S3" s="33"/>
    </row>
    <row r="4" spans="1:32" ht="15.75" x14ac:dyDescent="0.25">
      <c r="A4" s="214" t="s">
        <v>21</v>
      </c>
      <c r="B4" s="6"/>
      <c r="C4" s="6"/>
      <c r="D4" s="215" t="s">
        <v>90</v>
      </c>
      <c r="E4" s="94"/>
      <c r="F4" s="7"/>
      <c r="G4" s="3"/>
      <c r="H4" s="3"/>
      <c r="I4" s="3"/>
      <c r="J4" s="3"/>
      <c r="K4" s="201" t="s">
        <v>108</v>
      </c>
      <c r="L4" s="11"/>
      <c r="M4" s="4"/>
      <c r="N4" s="4"/>
      <c r="O4" s="4"/>
      <c r="P4" s="11"/>
      <c r="Q4" s="4"/>
      <c r="R4" s="4"/>
      <c r="S4" s="33"/>
    </row>
    <row r="5" spans="1:32" ht="15.75" x14ac:dyDescent="0.25">
      <c r="A5" s="34" t="s">
        <v>22</v>
      </c>
      <c r="B5" s="9">
        <v>95</v>
      </c>
      <c r="C5" s="6"/>
      <c r="D5" s="10" t="s">
        <v>73</v>
      </c>
      <c r="E5" s="139">
        <v>2</v>
      </c>
      <c r="F5" s="3"/>
      <c r="G5" s="3"/>
      <c r="H5" s="3"/>
      <c r="I5" s="3"/>
      <c r="J5" s="3"/>
      <c r="K5" s="201" t="s">
        <v>104</v>
      </c>
      <c r="L5" s="4"/>
      <c r="M5" s="4"/>
      <c r="N5" s="4"/>
      <c r="O5" s="4"/>
      <c r="P5" s="11"/>
      <c r="Q5" s="4"/>
      <c r="R5" s="4"/>
      <c r="S5" s="33"/>
    </row>
    <row r="6" spans="1:32" ht="15.75" x14ac:dyDescent="0.25">
      <c r="A6" s="8" t="s">
        <v>24</v>
      </c>
      <c r="B6" s="9">
        <v>1400</v>
      </c>
      <c r="C6" s="6"/>
      <c r="D6" s="10" t="s">
        <v>74</v>
      </c>
      <c r="E6" s="55">
        <v>1400</v>
      </c>
      <c r="F6" s="3"/>
      <c r="G6" s="3"/>
      <c r="H6" s="3"/>
      <c r="I6" s="3"/>
      <c r="J6" s="3"/>
      <c r="K6" s="201"/>
      <c r="L6" s="4"/>
      <c r="M6" s="4"/>
      <c r="N6" s="4"/>
      <c r="O6" s="4"/>
      <c r="P6" s="11"/>
      <c r="Q6" s="4"/>
      <c r="R6" s="4"/>
      <c r="S6" s="33"/>
    </row>
    <row r="7" spans="1:32" ht="15.75" x14ac:dyDescent="0.25">
      <c r="A7" s="8" t="s">
        <v>23</v>
      </c>
      <c r="B7" s="35">
        <v>210</v>
      </c>
      <c r="C7" s="6"/>
      <c r="D7" s="10" t="s">
        <v>75</v>
      </c>
      <c r="E7" s="139">
        <v>5</v>
      </c>
      <c r="F7" s="3"/>
      <c r="G7" s="3"/>
      <c r="H7" s="3"/>
      <c r="I7" s="3"/>
      <c r="J7" s="3"/>
      <c r="K7" s="201" t="s">
        <v>103</v>
      </c>
      <c r="L7" s="4"/>
      <c r="M7" s="4"/>
      <c r="N7" s="4"/>
      <c r="O7" s="4"/>
      <c r="P7" s="11"/>
      <c r="Q7" s="4"/>
      <c r="R7" s="4"/>
      <c r="S7" s="33"/>
    </row>
    <row r="8" spans="1:32" ht="18" customHeight="1" x14ac:dyDescent="0.25">
      <c r="A8" s="8" t="s">
        <v>25</v>
      </c>
      <c r="B8" s="35">
        <v>155</v>
      </c>
      <c r="C8" s="6"/>
      <c r="D8" s="10" t="s">
        <v>76</v>
      </c>
      <c r="E8" s="55">
        <v>1400</v>
      </c>
      <c r="F8" s="3"/>
      <c r="G8" s="3"/>
      <c r="H8" s="3"/>
      <c r="I8" s="3"/>
      <c r="J8" s="3"/>
      <c r="K8" s="201" t="s">
        <v>102</v>
      </c>
      <c r="L8" s="4"/>
      <c r="M8" s="4"/>
      <c r="N8" s="4"/>
      <c r="O8" s="4"/>
      <c r="P8" s="11"/>
      <c r="Q8" s="4"/>
      <c r="R8" s="4"/>
      <c r="S8" s="33"/>
      <c r="Z8" s="147" t="s">
        <v>123</v>
      </c>
      <c r="AA8" s="147" t="s">
        <v>124</v>
      </c>
      <c r="AB8" s="147" t="s">
        <v>125</v>
      </c>
      <c r="AC8" s="147" t="s">
        <v>126</v>
      </c>
      <c r="AD8" s="147"/>
    </row>
    <row r="9" spans="1:32" ht="15.75" customHeight="1" x14ac:dyDescent="0.25">
      <c r="A9" s="8" t="s">
        <v>85</v>
      </c>
      <c r="B9" s="138">
        <v>0</v>
      </c>
      <c r="C9" s="6"/>
      <c r="D9" s="46"/>
      <c r="E9" s="94"/>
      <c r="F9" s="3"/>
      <c r="G9" s="3"/>
      <c r="H9" s="3"/>
      <c r="I9" s="3"/>
      <c r="J9" s="3"/>
      <c r="K9" s="201" t="s">
        <v>101</v>
      </c>
      <c r="L9" s="4"/>
      <c r="M9" s="4"/>
      <c r="N9" s="4"/>
      <c r="O9" s="4"/>
      <c r="P9" s="11"/>
      <c r="Q9" s="4"/>
      <c r="R9" s="4"/>
      <c r="S9" s="33"/>
      <c r="Z9" s="1">
        <f>STDEV(Z13,AC13,AF13)</f>
        <v>0.33660046427650397</v>
      </c>
      <c r="AA9" s="148">
        <f>AVERAGE(Z13,AC13,AF13)</f>
        <v>1.9255266099217607</v>
      </c>
      <c r="AB9" s="148">
        <v>0.8</v>
      </c>
      <c r="AC9" s="161">
        <f>1-NORMDIST(AB9,AA9,Z9,TRUE)</f>
        <v>0.99958681229845914</v>
      </c>
    </row>
    <row r="10" spans="1:32" ht="16.5" customHeight="1" x14ac:dyDescent="0.2">
      <c r="A10" s="231" t="str">
        <f>IF(B7+B8+B9&gt;(365),"                 Warning: Days fed are &gt; than 365",IF(B7+B8+B9&lt;(365),"                         Warning days fed are &lt; 365 days","  "
))</f>
        <v xml:space="preserve">  </v>
      </c>
      <c r="B10" s="175"/>
      <c r="C10" s="6"/>
      <c r="D10" s="3"/>
      <c r="E10" s="3"/>
      <c r="F10" s="3"/>
      <c r="G10" s="3"/>
      <c r="H10" s="3"/>
      <c r="I10" s="3"/>
      <c r="J10" s="3"/>
      <c r="K10" s="202"/>
      <c r="L10" s="36"/>
      <c r="M10" s="36"/>
      <c r="N10" s="36"/>
      <c r="O10" s="36"/>
      <c r="P10" s="37"/>
      <c r="Q10" s="36"/>
      <c r="R10" s="36"/>
      <c r="S10" s="38"/>
    </row>
    <row r="11" spans="1:32" ht="15.75" customHeight="1" x14ac:dyDescent="0.25">
      <c r="A11" s="214" t="s">
        <v>1</v>
      </c>
      <c r="B11" s="6"/>
      <c r="C11" s="6"/>
      <c r="D11" s="214" t="s">
        <v>77</v>
      </c>
      <c r="E11" s="5"/>
      <c r="F11" s="3"/>
      <c r="G11" s="3"/>
      <c r="H11" s="3"/>
      <c r="I11" s="3"/>
      <c r="J11" s="3"/>
      <c r="K11" s="203" t="s">
        <v>32</v>
      </c>
      <c r="L11" s="39"/>
      <c r="M11" s="39"/>
      <c r="N11" s="40"/>
      <c r="O11" s="41"/>
      <c r="P11" s="206"/>
      <c r="Q11" s="42"/>
      <c r="R11" s="39"/>
      <c r="S11" s="43"/>
      <c r="AA11" s="147" t="s">
        <v>112</v>
      </c>
      <c r="AD11" s="147" t="s">
        <v>113</v>
      </c>
    </row>
    <row r="12" spans="1:32" ht="15.75" customHeight="1" thickBot="1" x14ac:dyDescent="0.3">
      <c r="A12" s="8" t="s">
        <v>64</v>
      </c>
      <c r="B12" s="18">
        <v>87</v>
      </c>
      <c r="C12" s="6"/>
      <c r="D12" s="10" t="s">
        <v>66</v>
      </c>
      <c r="E12" s="140">
        <v>5</v>
      </c>
      <c r="F12" s="3"/>
      <c r="G12" s="3"/>
      <c r="H12" s="3"/>
      <c r="I12" s="3"/>
      <c r="J12" s="3"/>
      <c r="K12" s="204" t="s">
        <v>34</v>
      </c>
      <c r="L12" s="44" t="s">
        <v>110</v>
      </c>
      <c r="M12" s="4"/>
      <c r="N12" s="4"/>
      <c r="O12" s="45"/>
      <c r="P12" s="207" t="s">
        <v>35</v>
      </c>
      <c r="Q12" s="46"/>
      <c r="R12" s="47" t="s">
        <v>36</v>
      </c>
      <c r="S12" s="33"/>
      <c r="Z12" s="147" t="s">
        <v>114</v>
      </c>
      <c r="AA12" s="147" t="s">
        <v>115</v>
      </c>
      <c r="AB12" s="147" t="s">
        <v>116</v>
      </c>
      <c r="AC12" s="147" t="s">
        <v>117</v>
      </c>
      <c r="AD12" s="147" t="s">
        <v>115</v>
      </c>
      <c r="AE12" s="147" t="s">
        <v>116</v>
      </c>
      <c r="AF12" s="147" t="s">
        <v>117</v>
      </c>
    </row>
    <row r="13" spans="1:32" ht="15.75" customHeight="1" thickBot="1" x14ac:dyDescent="0.3">
      <c r="A13" s="8" t="s">
        <v>2</v>
      </c>
      <c r="B13" s="18">
        <v>625</v>
      </c>
      <c r="C13" s="6"/>
      <c r="D13" s="10" t="s">
        <v>67</v>
      </c>
      <c r="E13" s="55">
        <v>900</v>
      </c>
      <c r="F13" s="213"/>
      <c r="G13" s="3"/>
      <c r="H13" s="3"/>
      <c r="I13" s="3"/>
      <c r="J13" s="3"/>
      <c r="K13" s="201" t="s">
        <v>19</v>
      </c>
      <c r="L13" s="144">
        <f>B14</f>
        <v>1.8</v>
      </c>
      <c r="M13" s="4"/>
      <c r="N13" s="4"/>
      <c r="O13" s="4"/>
      <c r="P13" s="95"/>
      <c r="Q13" s="208" t="s">
        <v>37</v>
      </c>
      <c r="R13" s="23">
        <v>0.2</v>
      </c>
      <c r="S13" s="33"/>
      <c r="Z13" s="148">
        <f>E52</f>
        <v>1.9255266099217607</v>
      </c>
      <c r="AA13" s="148">
        <f>(1+R13)*L13</f>
        <v>2.16</v>
      </c>
      <c r="AB13" s="149">
        <f>B12*AA13*B13</f>
        <v>117450.00000000001</v>
      </c>
      <c r="AC13" s="150">
        <f>(AB13+$F$19+$F$20+$B$20)/(($B$12*$B$13)+($B$17*$B$18))</f>
        <v>2.2621270741982631</v>
      </c>
      <c r="AD13" s="148">
        <f>(1-R13)*L13</f>
        <v>1.4400000000000002</v>
      </c>
      <c r="AE13" s="149">
        <f>B12*B13*AD13</f>
        <v>78300.000000000015</v>
      </c>
      <c r="AF13" s="150">
        <f>(AE13+$F$19+$F$20+$B$20)/(($B$12*$B$13)+($B$17*$B$18))</f>
        <v>1.5889261456452586</v>
      </c>
    </row>
    <row r="14" spans="1:32" ht="15.75" customHeight="1" thickBot="1" x14ac:dyDescent="0.3">
      <c r="A14" s="8" t="s">
        <v>7</v>
      </c>
      <c r="B14" s="16">
        <v>1.8</v>
      </c>
      <c r="C14" s="6"/>
      <c r="D14" s="10" t="s">
        <v>69</v>
      </c>
      <c r="E14" s="140">
        <v>2</v>
      </c>
      <c r="F14" s="3"/>
      <c r="G14" s="3"/>
      <c r="H14" s="3"/>
      <c r="I14" s="3"/>
      <c r="J14" s="3"/>
      <c r="K14" s="201" t="s">
        <v>111</v>
      </c>
      <c r="L14" s="144">
        <f>E51</f>
        <v>2.1188329897975433</v>
      </c>
      <c r="M14" s="4"/>
      <c r="N14" s="4"/>
      <c r="O14" s="4"/>
      <c r="P14" s="95"/>
      <c r="Q14" s="208" t="s">
        <v>39</v>
      </c>
      <c r="R14" s="23">
        <v>0.1</v>
      </c>
      <c r="S14" s="33"/>
      <c r="AA14" s="147" t="s">
        <v>118</v>
      </c>
      <c r="AD14" s="147" t="s">
        <v>118</v>
      </c>
    </row>
    <row r="15" spans="1:32" ht="15.75" customHeight="1" x14ac:dyDescent="0.25">
      <c r="A15" s="10" t="s">
        <v>63</v>
      </c>
      <c r="B15" s="216">
        <f>B12*B13*B14</f>
        <v>97875</v>
      </c>
      <c r="C15" s="6"/>
      <c r="D15" s="10" t="s">
        <v>68</v>
      </c>
      <c r="E15" s="55">
        <v>1400</v>
      </c>
      <c r="F15" s="3"/>
      <c r="G15" s="3"/>
      <c r="H15" s="3"/>
      <c r="I15" s="3"/>
      <c r="J15" s="3"/>
      <c r="K15" s="201"/>
      <c r="L15" s="152"/>
      <c r="M15" s="4"/>
      <c r="N15" s="4"/>
      <c r="O15" s="4"/>
      <c r="P15" s="4"/>
      <c r="Q15" s="48"/>
      <c r="R15" s="49"/>
      <c r="S15" s="33"/>
      <c r="Z15" s="148">
        <f>L14</f>
        <v>2.1188329897975433</v>
      </c>
      <c r="AA15" s="150">
        <f>L14*(1+R14)</f>
        <v>2.3307162887772979</v>
      </c>
      <c r="AD15" s="148">
        <f>(1-R14)*L14</f>
        <v>1.906949690817789</v>
      </c>
    </row>
    <row r="16" spans="1:32" ht="16.5" customHeight="1" x14ac:dyDescent="0.25">
      <c r="A16" s="115"/>
      <c r="B16" s="114"/>
      <c r="C16" s="6"/>
      <c r="D16" s="46"/>
      <c r="E16" s="94"/>
      <c r="F16" s="3"/>
      <c r="G16" s="3"/>
      <c r="H16" s="3"/>
      <c r="I16" s="3"/>
      <c r="J16" s="3"/>
      <c r="K16" s="205" t="s">
        <v>119</v>
      </c>
      <c r="L16" s="4"/>
      <c r="M16" s="4"/>
      <c r="N16" s="151">
        <f>$E$53</f>
        <v>-0.19330637987578259</v>
      </c>
      <c r="O16" s="49"/>
      <c r="P16" s="24"/>
      <c r="Q16" s="50"/>
      <c r="R16" s="3"/>
      <c r="S16" s="33"/>
    </row>
    <row r="17" spans="1:32" ht="15.75" customHeight="1" x14ac:dyDescent="0.25">
      <c r="A17" s="10" t="s">
        <v>42</v>
      </c>
      <c r="B17" s="18">
        <v>7</v>
      </c>
      <c r="C17" s="6"/>
      <c r="D17" s="217" t="s">
        <v>78</v>
      </c>
      <c r="E17" s="88" t="s">
        <v>28</v>
      </c>
      <c r="F17" s="44" t="s">
        <v>82</v>
      </c>
      <c r="G17" s="3"/>
      <c r="H17" s="3"/>
      <c r="I17" s="3"/>
      <c r="J17" s="3"/>
      <c r="K17" s="202"/>
      <c r="L17" s="51"/>
      <c r="M17" s="36"/>
      <c r="N17" s="52"/>
      <c r="O17" s="53"/>
      <c r="P17" s="54"/>
      <c r="Q17" s="51"/>
      <c r="R17" s="4"/>
      <c r="S17" s="38"/>
    </row>
    <row r="18" spans="1:32" ht="15.75" customHeight="1" x14ac:dyDescent="0.25">
      <c r="A18" s="10" t="s">
        <v>43</v>
      </c>
      <c r="B18" s="18">
        <v>540</v>
      </c>
      <c r="C18" s="6"/>
      <c r="D18" s="8" t="s">
        <v>79</v>
      </c>
      <c r="E18" s="216">
        <f>B15/B5</f>
        <v>1030.2631578947369</v>
      </c>
      <c r="F18" s="216">
        <f>B15</f>
        <v>97875</v>
      </c>
      <c r="G18" s="3"/>
      <c r="H18" s="3"/>
      <c r="I18" s="3"/>
      <c r="J18" s="3"/>
      <c r="K18" s="209" t="s">
        <v>41</v>
      </c>
      <c r="L18" s="56"/>
      <c r="M18" s="39"/>
      <c r="N18" s="57"/>
      <c r="O18" s="58"/>
      <c r="P18" s="59"/>
      <c r="Q18" s="56"/>
      <c r="R18" s="39"/>
      <c r="S18" s="43"/>
      <c r="AA18" s="162">
        <f>(((B17*B18)+(B12*B13))/B5)*B14</f>
        <v>1101.8842105263159</v>
      </c>
      <c r="AB18" s="147" t="s">
        <v>120</v>
      </c>
    </row>
    <row r="19" spans="1:32" ht="15.75" x14ac:dyDescent="0.25">
      <c r="A19" s="10" t="s">
        <v>44</v>
      </c>
      <c r="B19" s="16">
        <v>1.8</v>
      </c>
      <c r="C19" s="6"/>
      <c r="D19" s="10" t="s">
        <v>80</v>
      </c>
      <c r="E19" s="216">
        <f>(E13*E12)/B5</f>
        <v>47.368421052631582</v>
      </c>
      <c r="F19" s="216">
        <f>E13*E12</f>
        <v>4500</v>
      </c>
      <c r="G19" s="3"/>
      <c r="H19" s="3"/>
      <c r="I19" s="3"/>
      <c r="J19" s="3"/>
      <c r="K19" s="201" t="s">
        <v>109</v>
      </c>
      <c r="L19" s="50"/>
      <c r="M19" s="4"/>
      <c r="N19" s="48"/>
      <c r="O19" s="49"/>
      <c r="P19" s="24"/>
      <c r="Q19" s="50"/>
      <c r="R19" s="4"/>
      <c r="S19" s="33"/>
      <c r="AA19" s="162">
        <f>(E32*B5)/((B12*B13)+(B17*B18))</f>
        <v>2.1188329897975429</v>
      </c>
      <c r="AB19" s="147" t="s">
        <v>121</v>
      </c>
    </row>
    <row r="20" spans="1:32" ht="15.75" x14ac:dyDescent="0.25">
      <c r="A20" s="10" t="s">
        <v>45</v>
      </c>
      <c r="B20" s="216">
        <f>B17*B18*B19</f>
        <v>6804</v>
      </c>
      <c r="C20" s="6"/>
      <c r="D20" s="10" t="s">
        <v>81</v>
      </c>
      <c r="E20" s="216">
        <f>F20/B5</f>
        <v>29.473684210526315</v>
      </c>
      <c r="F20" s="216">
        <f>E14*E15</f>
        <v>2800</v>
      </c>
      <c r="G20" s="3"/>
      <c r="H20" s="3"/>
      <c r="I20" s="3"/>
      <c r="J20" s="3"/>
      <c r="K20" s="201" t="s">
        <v>106</v>
      </c>
      <c r="L20" s="50"/>
      <c r="M20" s="4"/>
      <c r="N20" s="48"/>
      <c r="O20" s="49"/>
      <c r="P20" s="24"/>
      <c r="Q20" s="50"/>
      <c r="R20" s="4"/>
      <c r="S20" s="33"/>
    </row>
    <row r="21" spans="1:32" ht="15.75" customHeight="1" x14ac:dyDescent="0.25">
      <c r="A21" s="3"/>
      <c r="B21" s="116"/>
      <c r="C21" s="6"/>
      <c r="D21" s="10" t="s">
        <v>65</v>
      </c>
      <c r="E21" s="216">
        <f>SUM(E18:E20)</f>
        <v>1107.1052631578948</v>
      </c>
      <c r="F21" s="216">
        <f>SUM(F18:F20)</f>
        <v>105175</v>
      </c>
      <c r="G21" s="3"/>
      <c r="H21" s="3"/>
      <c r="I21" s="3"/>
      <c r="J21" s="3"/>
      <c r="K21" s="212" t="s">
        <v>107</v>
      </c>
      <c r="L21" s="177"/>
      <c r="M21" s="177"/>
      <c r="N21" s="177"/>
      <c r="O21" s="177"/>
      <c r="P21" s="177"/>
      <c r="Q21" s="177"/>
      <c r="R21" s="177"/>
      <c r="S21" s="33"/>
      <c r="Z21">
        <v>2012</v>
      </c>
      <c r="AA21" s="168">
        <v>41365</v>
      </c>
      <c r="AB21" s="168">
        <v>38443</v>
      </c>
      <c r="AC21" s="168">
        <v>47178</v>
      </c>
      <c r="AD21" s="168">
        <v>44621</v>
      </c>
      <c r="AE21" t="s">
        <v>124</v>
      </c>
      <c r="AF21"/>
    </row>
    <row r="22" spans="1:32" ht="12" customHeight="1" x14ac:dyDescent="0.25">
      <c r="A22" s="3"/>
      <c r="B22" s="3"/>
      <c r="C22" s="6"/>
      <c r="D22" s="3"/>
      <c r="E22" s="3"/>
      <c r="F22" s="3"/>
      <c r="G22" s="3"/>
      <c r="H22" s="3"/>
      <c r="I22" s="3"/>
      <c r="J22" s="3"/>
      <c r="K22" s="201"/>
      <c r="L22" s="50"/>
      <c r="M22" s="4"/>
      <c r="N22" s="48"/>
      <c r="O22" s="49"/>
      <c r="P22" s="24"/>
      <c r="Q22" s="50"/>
      <c r="R22" s="4"/>
      <c r="S22" s="33"/>
      <c r="Z22" t="s">
        <v>136</v>
      </c>
      <c r="AA22">
        <f>+AVERAGE(145,158)</f>
        <v>151.5</v>
      </c>
      <c r="AB22">
        <f>+AVERAGE(161,156)</f>
        <v>158.5</v>
      </c>
      <c r="AC22">
        <f>+AVERAGE(152,165)</f>
        <v>158.5</v>
      </c>
      <c r="AD22">
        <f>+AVERAGE(162,157)</f>
        <v>159.5</v>
      </c>
      <c r="AE22">
        <f>AVERAGE(AA22:AD22)</f>
        <v>157</v>
      </c>
      <c r="AF22">
        <f>AVERAGE(AE22:AE23)</f>
        <v>152</v>
      </c>
    </row>
    <row r="23" spans="1:32" ht="15.75" x14ac:dyDescent="0.25">
      <c r="A23" s="214" t="s">
        <v>27</v>
      </c>
      <c r="B23" s="6"/>
      <c r="C23" s="6"/>
      <c r="D23" s="214" t="s">
        <v>70</v>
      </c>
      <c r="E23" s="89" t="s">
        <v>28</v>
      </c>
      <c r="F23" s="89" t="s">
        <v>29</v>
      </c>
      <c r="G23" s="3"/>
      <c r="H23" s="3"/>
      <c r="I23" s="3"/>
      <c r="J23" s="3"/>
      <c r="K23" s="201" t="s">
        <v>100</v>
      </c>
      <c r="L23" s="50"/>
      <c r="M23" s="4"/>
      <c r="N23" s="48"/>
      <c r="O23" s="49"/>
      <c r="P23" s="24"/>
      <c r="Q23" s="50"/>
      <c r="R23" s="4"/>
      <c r="S23" s="33"/>
      <c r="Z23" t="s">
        <v>137</v>
      </c>
      <c r="AA23">
        <v>140</v>
      </c>
      <c r="AB23">
        <f>+AVERAGE(143,158)</f>
        <v>150.5</v>
      </c>
      <c r="AC23">
        <f>+AVERAGE(142,150)</f>
        <v>146</v>
      </c>
      <c r="AD23">
        <f>+AVERAGE(145,158)</f>
        <v>151.5</v>
      </c>
      <c r="AE23">
        <f>AVERAGE(AA23:AD23)</f>
        <v>147</v>
      </c>
      <c r="AF23"/>
    </row>
    <row r="24" spans="1:32" ht="16.5" thickBot="1" x14ac:dyDescent="0.3">
      <c r="A24" s="8" t="s">
        <v>30</v>
      </c>
      <c r="B24" s="218">
        <f>E48</f>
        <v>870.30734090909084</v>
      </c>
      <c r="C24" s="6"/>
      <c r="D24" s="10" t="s">
        <v>31</v>
      </c>
      <c r="E24" s="218">
        <f>E46</f>
        <v>749.40734090909086</v>
      </c>
      <c r="F24" s="219">
        <f t="shared" ref="F24:F31" si="0">E24*$B$5</f>
        <v>71193.697386363638</v>
      </c>
      <c r="G24" s="3"/>
      <c r="H24" s="3"/>
      <c r="I24" s="3"/>
      <c r="J24" s="3"/>
      <c r="K24" s="201" t="s">
        <v>99</v>
      </c>
      <c r="L24" s="4"/>
      <c r="M24" s="4"/>
      <c r="N24" s="4"/>
      <c r="O24" s="4"/>
      <c r="P24" s="4"/>
      <c r="Q24" s="4"/>
      <c r="R24" s="4"/>
      <c r="S24" s="33"/>
      <c r="Z24" t="s">
        <v>138</v>
      </c>
      <c r="AA24">
        <v>111</v>
      </c>
      <c r="AB24">
        <v>111</v>
      </c>
      <c r="AC24">
        <v>114.5</v>
      </c>
      <c r="AD24">
        <v>147.5</v>
      </c>
      <c r="AE24">
        <f>AVERAGE(AA24:AD24)</f>
        <v>121</v>
      </c>
      <c r="AF24"/>
    </row>
    <row r="25" spans="1:32" ht="15.75" x14ac:dyDescent="0.25">
      <c r="A25" s="8"/>
      <c r="B25" s="14"/>
      <c r="C25" s="6"/>
      <c r="D25" s="10" t="s">
        <v>33</v>
      </c>
      <c r="E25" s="218">
        <f>E47</f>
        <v>120.9</v>
      </c>
      <c r="F25" s="219">
        <f t="shared" si="0"/>
        <v>11485.5</v>
      </c>
      <c r="G25" s="3"/>
      <c r="H25" s="3"/>
      <c r="I25" s="3"/>
      <c r="J25" s="3"/>
      <c r="K25" s="60"/>
      <c r="L25" s="129" t="s">
        <v>98</v>
      </c>
      <c r="M25" s="128"/>
      <c r="N25" s="128"/>
      <c r="O25" s="128"/>
      <c r="P25" s="127"/>
      <c r="Q25" s="4"/>
      <c r="R25" s="4"/>
      <c r="S25" s="33"/>
    </row>
    <row r="26" spans="1:32" ht="15.75" x14ac:dyDescent="0.25">
      <c r="A26" s="8" t="s">
        <v>3</v>
      </c>
      <c r="B26" s="15">
        <v>80</v>
      </c>
      <c r="C26" s="6"/>
      <c r="D26" s="8" t="s">
        <v>3</v>
      </c>
      <c r="E26" s="218">
        <f>B26</f>
        <v>80</v>
      </c>
      <c r="F26" s="219">
        <f t="shared" si="0"/>
        <v>7600</v>
      </c>
      <c r="G26" s="167"/>
      <c r="H26" s="3"/>
      <c r="I26" s="3"/>
      <c r="J26" s="3"/>
      <c r="K26" s="60"/>
      <c r="L26" s="126"/>
      <c r="M26" s="125"/>
      <c r="N26" s="125"/>
      <c r="O26" s="125"/>
      <c r="P26" s="124"/>
      <c r="Q26" s="4"/>
      <c r="R26" s="4"/>
      <c r="S26" s="33"/>
    </row>
    <row r="27" spans="1:32" ht="15.75" x14ac:dyDescent="0.25">
      <c r="A27" s="8" t="s">
        <v>38</v>
      </c>
      <c r="B27" s="15">
        <v>60</v>
      </c>
      <c r="C27" s="6"/>
      <c r="D27" s="8" t="s">
        <v>38</v>
      </c>
      <c r="E27" s="218">
        <f>B27</f>
        <v>60</v>
      </c>
      <c r="F27" s="219">
        <f t="shared" si="0"/>
        <v>5700</v>
      </c>
      <c r="G27" s="3"/>
      <c r="H27" s="3"/>
      <c r="I27" s="3"/>
      <c r="J27" s="3"/>
      <c r="K27" s="60"/>
      <c r="L27" s="123"/>
      <c r="M27" s="122"/>
      <c r="N27" s="121" t="s">
        <v>97</v>
      </c>
      <c r="O27" s="120"/>
      <c r="P27" s="119"/>
      <c r="Q27" s="4"/>
      <c r="R27" s="4"/>
      <c r="S27" s="33"/>
    </row>
    <row r="28" spans="1:32" ht="15.75" x14ac:dyDescent="0.25">
      <c r="A28" s="8" t="s">
        <v>4</v>
      </c>
      <c r="B28" s="15">
        <v>40</v>
      </c>
      <c r="C28" s="6"/>
      <c r="D28" s="8" t="s">
        <v>4</v>
      </c>
      <c r="E28" s="218">
        <f>B28</f>
        <v>40</v>
      </c>
      <c r="F28" s="219">
        <f t="shared" si="0"/>
        <v>3800</v>
      </c>
      <c r="G28" s="3"/>
      <c r="H28" s="3"/>
      <c r="I28" s="3"/>
      <c r="J28" s="3"/>
      <c r="K28" s="60"/>
      <c r="L28" s="61"/>
      <c r="M28" s="62"/>
      <c r="N28" s="130" t="s">
        <v>46</v>
      </c>
      <c r="O28" s="63" t="s">
        <v>47</v>
      </c>
      <c r="P28" s="131" t="s">
        <v>48</v>
      </c>
      <c r="Q28" s="4"/>
      <c r="R28" s="4"/>
      <c r="S28" s="33"/>
    </row>
    <row r="29" spans="1:32" ht="15.75" x14ac:dyDescent="0.25">
      <c r="A29" s="8" t="s">
        <v>71</v>
      </c>
      <c r="B29" s="16">
        <v>0.56000000000000005</v>
      </c>
      <c r="C29" s="6"/>
      <c r="D29" s="10" t="s">
        <v>5</v>
      </c>
      <c r="E29" s="218">
        <f>B29*B7</f>
        <v>117.60000000000001</v>
      </c>
      <c r="F29" s="219">
        <f t="shared" si="0"/>
        <v>11172</v>
      </c>
      <c r="G29" s="3"/>
      <c r="H29" s="3"/>
      <c r="I29" s="3"/>
      <c r="J29" s="3"/>
      <c r="K29" s="60"/>
      <c r="L29" s="118" t="s">
        <v>50</v>
      </c>
      <c r="M29" s="117"/>
      <c r="N29" s="132">
        <f>R14</f>
        <v>0.1</v>
      </c>
      <c r="O29" s="63"/>
      <c r="P29" s="133">
        <f>R14</f>
        <v>0.1</v>
      </c>
      <c r="Q29" s="4"/>
      <c r="R29" s="4"/>
      <c r="S29" s="33"/>
    </row>
    <row r="30" spans="1:32" ht="17.25" customHeight="1" thickBot="1" x14ac:dyDescent="0.3">
      <c r="A30" s="8" t="s">
        <v>40</v>
      </c>
      <c r="B30" s="55">
        <f>SUM(E24:E28)*0.5*0.0495</f>
        <v>25.995106687499998</v>
      </c>
      <c r="C30" s="6"/>
      <c r="D30" s="10" t="s">
        <v>6</v>
      </c>
      <c r="E30" s="218">
        <f>B30</f>
        <v>25.995106687499998</v>
      </c>
      <c r="F30" s="219">
        <f t="shared" si="0"/>
        <v>2469.5351353124997</v>
      </c>
      <c r="G30" s="3"/>
      <c r="H30" s="17"/>
      <c r="I30" s="17"/>
      <c r="J30" s="3"/>
      <c r="K30" s="60"/>
      <c r="L30" s="134" t="s">
        <v>48</v>
      </c>
      <c r="M30" s="135">
        <f>R13</f>
        <v>0.2</v>
      </c>
      <c r="N30" s="153">
        <f>AC13-AD15</f>
        <v>0.35517738338047411</v>
      </c>
      <c r="O30" s="154">
        <f>AC13-Z15</f>
        <v>0.14329408440071978</v>
      </c>
      <c r="P30" s="155">
        <f>AC13-AA15</f>
        <v>-6.8589214579034774E-2</v>
      </c>
      <c r="Q30" s="4"/>
      <c r="R30" s="4"/>
      <c r="S30" s="33"/>
    </row>
    <row r="31" spans="1:32" ht="16.5" customHeight="1" thickBot="1" x14ac:dyDescent="0.3">
      <c r="A31" s="10" t="s">
        <v>132</v>
      </c>
      <c r="B31" s="55">
        <v>1100</v>
      </c>
      <c r="C31" s="6"/>
      <c r="D31" s="10" t="s">
        <v>84</v>
      </c>
      <c r="E31" s="216">
        <f>(((E8*E7)+(E5*E6))/B5)</f>
        <v>103.15789473684211</v>
      </c>
      <c r="F31" s="219">
        <f t="shared" si="0"/>
        <v>9800</v>
      </c>
      <c r="G31" s="3"/>
      <c r="H31" s="3"/>
      <c r="I31" s="3"/>
      <c r="J31" s="3"/>
      <c r="K31" s="60"/>
      <c r="L31" s="66" t="s">
        <v>47</v>
      </c>
      <c r="M31" s="67"/>
      <c r="N31" s="156">
        <f>Z13-AD15</f>
        <v>1.8576919103971745E-2</v>
      </c>
      <c r="O31" s="145">
        <f>N16</f>
        <v>-0.19330637987578259</v>
      </c>
      <c r="P31" s="146">
        <f>Z13-AA15</f>
        <v>-0.40518967885553714</v>
      </c>
      <c r="Q31" s="4"/>
      <c r="R31" s="4"/>
      <c r="S31" s="33"/>
    </row>
    <row r="32" spans="1:32" ht="16.5" customHeight="1" thickBot="1" x14ac:dyDescent="0.3">
      <c r="A32" s="3"/>
      <c r="B32" s="3"/>
      <c r="C32" s="6"/>
      <c r="D32" s="10" t="s">
        <v>83</v>
      </c>
      <c r="E32" s="218">
        <f>SUM(E24:E31)</f>
        <v>1297.0603423334328</v>
      </c>
      <c r="F32" s="220">
        <f>SUM(F24:F31)</f>
        <v>123220.73252167614</v>
      </c>
      <c r="G32" s="3"/>
      <c r="H32" s="3"/>
      <c r="I32" s="3"/>
      <c r="J32" s="3"/>
      <c r="K32" s="60"/>
      <c r="L32" s="136" t="s">
        <v>46</v>
      </c>
      <c r="M32" s="137">
        <f>R13</f>
        <v>0.2</v>
      </c>
      <c r="N32" s="157">
        <f>AF13-AD15</f>
        <v>-0.3180235451725304</v>
      </c>
      <c r="O32" s="158">
        <f>AF13-Z15</f>
        <v>-0.52990684415228473</v>
      </c>
      <c r="P32" s="159">
        <f>AF13-AA15</f>
        <v>-0.74179014313203928</v>
      </c>
      <c r="Q32" s="4"/>
      <c r="R32" s="4"/>
      <c r="S32" s="33"/>
    </row>
    <row r="33" spans="1:19" ht="18.75" customHeight="1" x14ac:dyDescent="0.2">
      <c r="A33" s="6"/>
      <c r="B33" s="6"/>
      <c r="C33" s="6"/>
      <c r="D33" s="3"/>
      <c r="E33" s="3"/>
      <c r="F33" s="3"/>
      <c r="G33" s="3"/>
      <c r="H33" s="3"/>
      <c r="I33" s="3"/>
      <c r="J33" s="3"/>
      <c r="K33" s="60"/>
      <c r="L33" s="4"/>
      <c r="M33" s="4"/>
      <c r="N33" s="4"/>
      <c r="O33" s="4"/>
      <c r="P33" s="4"/>
      <c r="Q33" s="4"/>
      <c r="R33" s="4"/>
      <c r="S33" s="33"/>
    </row>
    <row r="34" spans="1:19" ht="18" x14ac:dyDescent="0.25">
      <c r="A34" s="221" t="s">
        <v>8</v>
      </c>
      <c r="B34" s="101" t="s">
        <v>9</v>
      </c>
      <c r="C34" s="102"/>
      <c r="D34" s="103" t="s">
        <v>49</v>
      </c>
      <c r="E34" s="104"/>
      <c r="F34" s="105" t="s">
        <v>10</v>
      </c>
      <c r="G34" s="3"/>
      <c r="H34" s="3"/>
      <c r="I34" s="3"/>
      <c r="J34" s="3"/>
      <c r="K34" s="60"/>
      <c r="L34" s="4"/>
      <c r="M34" s="4"/>
      <c r="N34" s="4"/>
      <c r="O34" s="4"/>
      <c r="P34" s="4"/>
      <c r="Q34" s="4"/>
      <c r="R34" s="4"/>
      <c r="S34" s="33"/>
    </row>
    <row r="35" spans="1:19" ht="15.75" x14ac:dyDescent="0.25">
      <c r="A35" s="80" t="s">
        <v>11</v>
      </c>
      <c r="B35" s="81">
        <v>200</v>
      </c>
      <c r="C35" s="106"/>
      <c r="D35" s="82">
        <v>36</v>
      </c>
      <c r="E35" s="216">
        <f>D35*$B$7*B35/2200</f>
        <v>687.27272727272725</v>
      </c>
      <c r="F35" s="83">
        <v>90</v>
      </c>
      <c r="G35" s="65"/>
      <c r="H35" s="3"/>
      <c r="I35" s="3"/>
      <c r="J35" s="3"/>
      <c r="K35" s="68"/>
      <c r="L35" s="36"/>
      <c r="M35" s="36"/>
      <c r="N35" s="36"/>
      <c r="O35" s="36"/>
      <c r="P35" s="36"/>
      <c r="Q35" s="36"/>
      <c r="R35" s="36"/>
      <c r="S35" s="38"/>
    </row>
    <row r="36" spans="1:19" ht="15.75" x14ac:dyDescent="0.25">
      <c r="A36" s="80" t="s">
        <v>12</v>
      </c>
      <c r="B36" s="81">
        <v>100</v>
      </c>
      <c r="C36" s="95"/>
      <c r="D36" s="82">
        <v>0</v>
      </c>
      <c r="E36" s="216">
        <f>D36*$B$7*B36/2200</f>
        <v>0</v>
      </c>
      <c r="F36" s="83">
        <v>45</v>
      </c>
      <c r="G36" s="65"/>
      <c r="H36" s="3"/>
      <c r="I36" s="3"/>
      <c r="J36" s="3"/>
    </row>
    <row r="37" spans="1:19" ht="15.75" x14ac:dyDescent="0.25">
      <c r="A37" s="80" t="s">
        <v>13</v>
      </c>
      <c r="B37" s="81">
        <v>40</v>
      </c>
      <c r="C37" s="95"/>
      <c r="D37" s="82">
        <v>0</v>
      </c>
      <c r="E37" s="216">
        <f>D37*$B$7*B37/2200</f>
        <v>0</v>
      </c>
      <c r="F37" s="83">
        <v>35</v>
      </c>
      <c r="G37" s="65"/>
      <c r="H37" s="3"/>
      <c r="I37" s="3"/>
      <c r="J37" s="3"/>
    </row>
    <row r="38" spans="1:19" ht="15.75" x14ac:dyDescent="0.25">
      <c r="A38" s="80" t="s">
        <v>14</v>
      </c>
      <c r="B38" s="81">
        <v>220</v>
      </c>
      <c r="C38" s="95"/>
      <c r="D38" s="82">
        <v>0</v>
      </c>
      <c r="E38" s="216">
        <f>D38*$B$7*B38/2200</f>
        <v>0</v>
      </c>
      <c r="F38" s="83">
        <v>86</v>
      </c>
      <c r="G38" s="65"/>
      <c r="H38" s="3"/>
      <c r="I38" s="3"/>
      <c r="J38" s="3"/>
    </row>
    <row r="39" spans="1:19" ht="15.75" x14ac:dyDescent="0.25">
      <c r="A39" s="80" t="s">
        <v>15</v>
      </c>
      <c r="B39" s="81">
        <v>200</v>
      </c>
      <c r="C39" s="95"/>
      <c r="D39" s="82">
        <v>0</v>
      </c>
      <c r="E39" s="216">
        <f>D39*$B$7*B39/2200</f>
        <v>0</v>
      </c>
      <c r="F39" s="83">
        <v>90</v>
      </c>
      <c r="G39" s="65"/>
      <c r="H39" s="3"/>
      <c r="I39" s="3"/>
      <c r="J39" s="3"/>
    </row>
    <row r="40" spans="1:19" ht="15.75" x14ac:dyDescent="0.25">
      <c r="A40" s="80" t="s">
        <v>16</v>
      </c>
      <c r="B40" s="81">
        <v>1700</v>
      </c>
      <c r="C40" s="95"/>
      <c r="D40" s="84">
        <v>0.2203</v>
      </c>
      <c r="E40" s="216">
        <f>D40*($B$7+$B$8+$B$9)*B40/2200</f>
        <v>62.134613636363632</v>
      </c>
      <c r="F40" s="83">
        <v>100</v>
      </c>
      <c r="G40" s="65"/>
      <c r="H40" s="3"/>
      <c r="I40" s="3"/>
      <c r="J40" s="3"/>
    </row>
    <row r="41" spans="1:19" ht="15.75" x14ac:dyDescent="0.25">
      <c r="A41" s="141" t="s">
        <v>139</v>
      </c>
      <c r="B41" s="81">
        <v>200</v>
      </c>
      <c r="C41" s="95"/>
      <c r="D41" s="82">
        <v>0</v>
      </c>
      <c r="E41" s="216">
        <f>D41*$B$7*B41/2200</f>
        <v>0</v>
      </c>
      <c r="F41" s="83">
        <v>90</v>
      </c>
      <c r="G41" s="65"/>
      <c r="H41" s="3"/>
      <c r="I41" s="3"/>
      <c r="J41" s="3"/>
    </row>
    <row r="42" spans="1:19" ht="15.75" customHeight="1" x14ac:dyDescent="0.25">
      <c r="A42" s="107"/>
      <c r="B42" s="90" t="s">
        <v>51</v>
      </c>
      <c r="C42" s="95"/>
      <c r="D42" s="91" t="s">
        <v>52</v>
      </c>
      <c r="E42" s="13"/>
      <c r="F42" s="108"/>
      <c r="G42" s="65"/>
      <c r="H42" s="3"/>
      <c r="I42" s="3"/>
      <c r="J42" s="3"/>
    </row>
    <row r="43" spans="1:19" ht="18.75" customHeight="1" x14ac:dyDescent="0.25">
      <c r="A43" s="85" t="s">
        <v>53</v>
      </c>
      <c r="B43" s="86">
        <v>0.78</v>
      </c>
      <c r="C43" s="95"/>
      <c r="D43" s="222">
        <f>B8</f>
        <v>155</v>
      </c>
      <c r="E43" s="216">
        <f>B43*D43</f>
        <v>120.9</v>
      </c>
      <c r="F43" s="108"/>
      <c r="G43" s="65"/>
      <c r="H43" s="3"/>
      <c r="I43" s="3"/>
      <c r="J43" s="3"/>
    </row>
    <row r="44" spans="1:19" ht="15.75" x14ac:dyDescent="0.25">
      <c r="A44" s="80" t="s">
        <v>54</v>
      </c>
      <c r="B44" s="86">
        <v>0.2</v>
      </c>
      <c r="C44" s="109"/>
      <c r="D44" s="223">
        <f>B9</f>
        <v>0</v>
      </c>
      <c r="E44" s="224">
        <f>B44*D44</f>
        <v>0</v>
      </c>
      <c r="F44" s="110"/>
      <c r="G44" s="19"/>
      <c r="H44" s="3"/>
      <c r="I44" s="3"/>
      <c r="J44" s="3"/>
    </row>
    <row r="45" spans="1:19" ht="15.75" x14ac:dyDescent="0.25">
      <c r="A45" s="92"/>
      <c r="B45" s="93"/>
      <c r="C45" s="109"/>
      <c r="D45" s="142"/>
      <c r="E45" s="143"/>
      <c r="F45" s="110"/>
      <c r="G45" s="19"/>
      <c r="H45" s="3"/>
      <c r="I45" s="3"/>
      <c r="J45" s="3"/>
    </row>
    <row r="46" spans="1:19" ht="15.75" x14ac:dyDescent="0.25">
      <c r="A46" s="87" t="s">
        <v>26</v>
      </c>
      <c r="B46" s="225">
        <f>0.025*$B$6</f>
        <v>35</v>
      </c>
      <c r="C46" s="98"/>
      <c r="D46" s="99" t="s">
        <v>31</v>
      </c>
      <c r="E46" s="227">
        <f>SUM(E35:E41)</f>
        <v>749.40734090909086</v>
      </c>
      <c r="F46" s="111"/>
      <c r="G46" s="19"/>
      <c r="H46" s="3"/>
      <c r="I46" s="3"/>
      <c r="J46" s="3"/>
    </row>
    <row r="47" spans="1:19" ht="15.75" x14ac:dyDescent="0.25">
      <c r="A47" s="96" t="s">
        <v>89</v>
      </c>
      <c r="B47" s="226">
        <f>(D35*F35/100)+(D36*F36/100)+(D37*F37/100)+(D38*F38/100)+(D39*F39/100)+(D40*F40/100)+(D41*F41/100)</f>
        <v>32.6203</v>
      </c>
      <c r="C47" s="95"/>
      <c r="D47" s="100" t="s">
        <v>33</v>
      </c>
      <c r="E47" s="220">
        <f>E43+E44</f>
        <v>120.9</v>
      </c>
      <c r="F47" s="111"/>
      <c r="G47" s="19"/>
      <c r="H47" s="3"/>
      <c r="I47" s="3"/>
      <c r="J47" s="3"/>
    </row>
    <row r="48" spans="1:19" ht="18" customHeight="1" x14ac:dyDescent="0.25">
      <c r="A48" s="232" t="str">
        <f>IF(B47&gt;(0.027*B6),"Warning: Too much dry matter, check feed fed - "&amp;B47,IF(B47&lt;(0.021*B6),"Warning:  Too little dry matter, check feed fed - "&amp;B47,
""))</f>
        <v/>
      </c>
      <c r="B48" s="170"/>
      <c r="C48" s="97"/>
      <c r="D48" s="80" t="s">
        <v>17</v>
      </c>
      <c r="E48" s="228">
        <f>SUM(E35:E41,E43:E44)</f>
        <v>870.30734090909084</v>
      </c>
      <c r="F48" s="160"/>
      <c r="G48" s="19"/>
      <c r="H48" s="3"/>
      <c r="I48" s="3"/>
      <c r="J48" s="3"/>
    </row>
    <row r="49" spans="1:10" ht="9" customHeight="1" x14ac:dyDescent="0.25">
      <c r="A49" s="20"/>
      <c r="B49" s="3"/>
      <c r="C49" s="71"/>
      <c r="D49" s="3"/>
      <c r="E49" s="3"/>
      <c r="F49" s="3"/>
      <c r="G49" s="19"/>
      <c r="H49" s="3"/>
      <c r="I49" s="3"/>
      <c r="J49" s="3"/>
    </row>
    <row r="50" spans="1:10" ht="31.5" x14ac:dyDescent="0.25">
      <c r="A50" s="20"/>
      <c r="B50" s="71" t="s">
        <v>95</v>
      </c>
      <c r="C50" s="71"/>
      <c r="D50" s="71"/>
      <c r="E50" s="112" t="s">
        <v>86</v>
      </c>
      <c r="F50" s="113" t="s">
        <v>79</v>
      </c>
      <c r="G50" s="19"/>
      <c r="H50" s="3"/>
      <c r="I50" s="3"/>
      <c r="J50" s="3"/>
    </row>
    <row r="51" spans="1:10" ht="18" x14ac:dyDescent="0.25">
      <c r="A51" s="20"/>
      <c r="B51" s="64" t="s">
        <v>55</v>
      </c>
      <c r="C51" s="69"/>
      <c r="D51" s="79"/>
      <c r="E51" s="220">
        <f>F32/((B12*B13)+(B17*B18))</f>
        <v>2.1188329897975433</v>
      </c>
      <c r="F51" s="220">
        <f>((F32-(E7*E8)+(E7*B31)))/(B12*B13)</f>
        <v>2.2385422072951933</v>
      </c>
      <c r="G51" s="3"/>
      <c r="H51" s="3"/>
      <c r="I51" s="3"/>
      <c r="J51" s="3"/>
    </row>
    <row r="52" spans="1:10" ht="18" x14ac:dyDescent="0.25">
      <c r="A52" s="3"/>
      <c r="B52" s="72" t="s">
        <v>87</v>
      </c>
      <c r="C52" s="73"/>
      <c r="D52" s="38"/>
      <c r="E52" s="219">
        <f>(F21+(B20))/((B13*B12)+(B18*B17))</f>
        <v>1.9255266099217607</v>
      </c>
      <c r="F52" s="219">
        <f>F21/(B12*B13)</f>
        <v>1.9342528735632183</v>
      </c>
      <c r="G52" s="19"/>
      <c r="H52" s="3"/>
      <c r="I52" s="3"/>
      <c r="J52" s="3"/>
    </row>
    <row r="53" spans="1:10" ht="18" x14ac:dyDescent="0.25">
      <c r="A53" s="4"/>
      <c r="B53" s="75" t="s">
        <v>88</v>
      </c>
      <c r="C53" s="76"/>
      <c r="D53" s="77"/>
      <c r="E53" s="229">
        <f>E52-E51</f>
        <v>-0.19330637987578259</v>
      </c>
      <c r="F53" s="230">
        <f>F52-F51</f>
        <v>-0.30428933373197498</v>
      </c>
      <c r="G53" s="70"/>
      <c r="H53" s="3"/>
      <c r="I53" s="3"/>
      <c r="J53" s="3"/>
    </row>
    <row r="54" spans="1:10" ht="18" x14ac:dyDescent="0.25">
      <c r="A54" s="3"/>
      <c r="B54" s="72" t="s">
        <v>56</v>
      </c>
      <c r="C54" s="73"/>
      <c r="D54" s="74"/>
      <c r="E54" s="219">
        <f>(E21+(B20/B5))-E32</f>
        <v>-118.334026543959</v>
      </c>
      <c r="F54" s="230">
        <f>E21-(E32-((E7*E8)/B5)+((E7*B31)/B5))</f>
        <v>-174.16560549132737</v>
      </c>
      <c r="G54" s="3"/>
      <c r="H54" s="3"/>
      <c r="I54" s="3"/>
      <c r="J54" s="3"/>
    </row>
    <row r="55" spans="1:10" ht="18" x14ac:dyDescent="0.25">
      <c r="A55" s="3"/>
      <c r="B55" s="75" t="s">
        <v>57</v>
      </c>
      <c r="C55" s="36"/>
      <c r="D55" s="38"/>
      <c r="E55" s="219">
        <f>(F21+B20)-F32</f>
        <v>-11241.732521676138</v>
      </c>
      <c r="F55" s="230">
        <f>F21-(F32-(E7*E8)+(E7*B31))</f>
        <v>-16545.732521676138</v>
      </c>
      <c r="G55" s="3"/>
      <c r="H55" s="3"/>
      <c r="I55" s="3"/>
      <c r="J55" s="3"/>
    </row>
    <row r="56" spans="1:10" x14ac:dyDescent="0.2">
      <c r="A56" s="3"/>
      <c r="B56" s="21"/>
      <c r="C56" s="3"/>
      <c r="D56" s="3"/>
      <c r="E56" s="3"/>
      <c r="F56" s="3"/>
      <c r="G56" s="3"/>
      <c r="H56" s="3"/>
      <c r="I56" s="3"/>
      <c r="J56" s="3"/>
    </row>
    <row r="57" spans="1:10" ht="15.75" x14ac:dyDescent="0.25">
      <c r="A57" s="7" t="s">
        <v>72</v>
      </c>
      <c r="B57" s="21"/>
      <c r="C57" s="3"/>
      <c r="D57" s="3"/>
      <c r="E57" s="3"/>
      <c r="F57" s="3"/>
      <c r="G57" s="3"/>
      <c r="H57" s="3"/>
      <c r="I57" s="3"/>
      <c r="J57" s="3"/>
    </row>
    <row r="58" spans="1:10" s="179" customFormat="1" ht="25.5" customHeight="1" x14ac:dyDescent="0.25">
      <c r="A58" s="197" t="s">
        <v>142</v>
      </c>
      <c r="B58" s="176"/>
      <c r="C58" s="176"/>
      <c r="D58" s="176"/>
      <c r="E58" s="176"/>
      <c r="F58" s="176"/>
      <c r="G58" s="178"/>
      <c r="H58" s="178"/>
      <c r="I58" s="178"/>
      <c r="J58" s="178"/>
    </row>
    <row r="59" spans="1:10" ht="18" customHeight="1" x14ac:dyDescent="0.2">
      <c r="A59" s="198" t="s">
        <v>143</v>
      </c>
      <c r="B59" s="176"/>
      <c r="C59" s="176"/>
      <c r="D59" s="176"/>
      <c r="E59" s="176"/>
      <c r="F59" s="176"/>
      <c r="G59" s="3"/>
      <c r="H59" s="3"/>
      <c r="I59" s="3"/>
      <c r="J59" s="3"/>
    </row>
    <row r="60" spans="1:10" ht="16.5" customHeight="1" x14ac:dyDescent="0.25">
      <c r="A60" s="199" t="s">
        <v>144</v>
      </c>
      <c r="B60" s="176"/>
      <c r="C60" s="176"/>
      <c r="D60" s="176"/>
      <c r="E60" s="176"/>
      <c r="F60" s="176"/>
      <c r="G60" s="3"/>
      <c r="H60" s="3"/>
      <c r="I60" s="3"/>
      <c r="J60" s="3"/>
    </row>
    <row r="61" spans="1:10" s="182" customFormat="1" ht="25.5" customHeight="1" x14ac:dyDescent="0.2">
      <c r="A61" s="200" t="s">
        <v>145</v>
      </c>
      <c r="B61" s="180"/>
      <c r="C61" s="180"/>
      <c r="D61" s="180"/>
      <c r="E61" s="180"/>
      <c r="F61" s="180"/>
      <c r="G61" s="181"/>
      <c r="H61" s="181"/>
      <c r="I61" s="181"/>
      <c r="J61" s="181"/>
    </row>
    <row r="62" spans="1:10" ht="18" x14ac:dyDescent="0.25">
      <c r="A62" s="2" t="s">
        <v>0</v>
      </c>
      <c r="B62" s="3"/>
      <c r="C62" s="3"/>
      <c r="D62" s="3"/>
      <c r="E62" s="3"/>
      <c r="F62" s="3"/>
      <c r="G62" s="3"/>
      <c r="H62" s="3"/>
      <c r="I62" s="3"/>
      <c r="J62" s="3"/>
    </row>
    <row r="63" spans="1:10" ht="12.95" customHeight="1" x14ac:dyDescent="0.2">
      <c r="A63" s="21"/>
      <c r="B63" s="3"/>
      <c r="C63" s="3"/>
      <c r="D63" s="25"/>
      <c r="E63" s="21"/>
      <c r="F63" s="6"/>
      <c r="G63" s="3"/>
      <c r="H63" s="3"/>
      <c r="I63" s="3"/>
      <c r="J63" s="3"/>
    </row>
    <row r="64" spans="1:10" ht="15.75" x14ac:dyDescent="0.2">
      <c r="A64" s="187" t="s">
        <v>131</v>
      </c>
      <c r="B64" s="3"/>
      <c r="C64" s="3"/>
      <c r="D64" s="25"/>
      <c r="E64" s="21"/>
      <c r="F64" s="6"/>
      <c r="G64" s="3"/>
      <c r="H64" s="3"/>
      <c r="I64" s="3"/>
      <c r="J64" s="3"/>
    </row>
    <row r="65" spans="1:10" ht="15" x14ac:dyDescent="0.2">
      <c r="A65" s="184" t="s">
        <v>58</v>
      </c>
      <c r="B65" s="3"/>
      <c r="C65" s="3"/>
      <c r="D65" s="25"/>
      <c r="E65" s="3"/>
      <c r="F65" s="6"/>
      <c r="G65" s="3"/>
      <c r="H65" s="3"/>
      <c r="I65" s="3"/>
      <c r="J65" s="3"/>
    </row>
    <row r="66" spans="1:10" ht="15" x14ac:dyDescent="0.2">
      <c r="A66" s="184" t="s">
        <v>59</v>
      </c>
      <c r="B66" s="3"/>
      <c r="C66" s="3"/>
      <c r="D66" s="25"/>
      <c r="E66" s="3"/>
      <c r="F66" s="6"/>
      <c r="G66" s="3"/>
      <c r="H66" s="3"/>
      <c r="I66" s="3"/>
      <c r="J66" s="3"/>
    </row>
    <row r="67" spans="1:10" ht="15" x14ac:dyDescent="0.2">
      <c r="A67" s="184" t="s">
        <v>127</v>
      </c>
      <c r="B67" s="3"/>
      <c r="C67" s="3"/>
      <c r="D67" s="3"/>
      <c r="E67" s="3"/>
      <c r="F67" s="3"/>
      <c r="G67" s="3"/>
      <c r="H67" s="3"/>
      <c r="I67" s="3"/>
      <c r="J67" s="3"/>
    </row>
    <row r="68" spans="1:10" ht="15" x14ac:dyDescent="0.2">
      <c r="A68" s="184"/>
      <c r="B68" s="3"/>
      <c r="C68" s="3"/>
      <c r="D68" s="3"/>
      <c r="E68" s="3"/>
      <c r="F68" s="3"/>
      <c r="G68" s="3"/>
      <c r="H68" s="3"/>
      <c r="I68" s="3"/>
      <c r="J68" s="3"/>
    </row>
    <row r="69" spans="1:10" ht="15.75" x14ac:dyDescent="0.25">
      <c r="A69" s="188" t="s">
        <v>128</v>
      </c>
      <c r="B69" s="3"/>
      <c r="C69" s="3"/>
      <c r="D69" s="3"/>
      <c r="E69" s="3"/>
      <c r="F69" s="3"/>
      <c r="G69" s="3"/>
      <c r="H69" s="3"/>
      <c r="I69" s="3"/>
      <c r="J69" s="4"/>
    </row>
    <row r="70" spans="1:10" ht="15" x14ac:dyDescent="0.2">
      <c r="A70" s="193" t="s">
        <v>129</v>
      </c>
      <c r="B70" s="165"/>
      <c r="C70" s="165"/>
      <c r="D70" s="165"/>
      <c r="E70" s="165"/>
      <c r="F70" s="165"/>
      <c r="G70" s="165"/>
      <c r="H70" s="165"/>
      <c r="I70" s="165"/>
      <c r="J70" s="165"/>
    </row>
    <row r="71" spans="1:10" ht="15" x14ac:dyDescent="0.2">
      <c r="A71" s="194" t="s">
        <v>130</v>
      </c>
      <c r="B71" s="125"/>
      <c r="C71" s="125"/>
      <c r="D71" s="125"/>
      <c r="E71" s="125"/>
      <c r="F71" s="125"/>
      <c r="G71" s="125"/>
      <c r="H71" s="125"/>
      <c r="I71" s="125"/>
      <c r="J71" s="125"/>
    </row>
    <row r="72" spans="1:10" ht="15" x14ac:dyDescent="0.2">
      <c r="A72" s="195" t="s">
        <v>146</v>
      </c>
      <c r="B72" s="125"/>
      <c r="C72" s="125"/>
      <c r="D72" s="125"/>
      <c r="E72" s="125"/>
      <c r="F72" s="125"/>
      <c r="G72" s="125"/>
      <c r="H72" s="125"/>
      <c r="I72" s="125"/>
      <c r="J72" s="125"/>
    </row>
    <row r="73" spans="1:10" ht="15" x14ac:dyDescent="0.2">
      <c r="A73" s="196" t="s">
        <v>147</v>
      </c>
      <c r="B73" s="166"/>
      <c r="C73" s="166"/>
      <c r="D73" s="166"/>
      <c r="E73" s="166"/>
      <c r="F73" s="166"/>
      <c r="G73" s="166"/>
      <c r="H73" s="166"/>
      <c r="I73" s="166"/>
      <c r="J73" s="166"/>
    </row>
    <row r="74" spans="1:10" x14ac:dyDescent="0.2">
      <c r="J74" s="12"/>
    </row>
    <row r="75" spans="1:10" x14ac:dyDescent="0.2">
      <c r="J75" s="12"/>
    </row>
    <row r="76" spans="1:10" x14ac:dyDescent="0.2">
      <c r="J76" s="12"/>
    </row>
    <row r="77" spans="1:10" x14ac:dyDescent="0.2">
      <c r="J77" s="12"/>
    </row>
    <row r="78" spans="1:10" x14ac:dyDescent="0.2">
      <c r="J78" s="12"/>
    </row>
    <row r="79" spans="1:10" x14ac:dyDescent="0.2">
      <c r="J79" s="12"/>
    </row>
    <row r="80" spans="1:10" x14ac:dyDescent="0.2">
      <c r="J80" s="12"/>
    </row>
    <row r="81" spans="8:10" x14ac:dyDescent="0.2">
      <c r="J81" s="12"/>
    </row>
    <row r="82" spans="8:10" x14ac:dyDescent="0.2">
      <c r="H82" s="26"/>
      <c r="I82" s="26"/>
      <c r="J82" s="12"/>
    </row>
  </sheetData>
  <phoneticPr fontId="21" type="noConversion"/>
  <conditionalFormatting sqref="R13:R15 O16:O20 O22:O23">
    <cfRule type="cellIs" dxfId="0" priority="1" stopIfTrue="1" operator="lessThan">
      <formula>0</formula>
    </cfRule>
  </conditionalFormatting>
  <dataValidations xWindow="31820" yWindow="105" count="2">
    <dataValidation type="decimal" operator="greaterThan" allowBlank="1" showInputMessage="1" errorTitle="Percent Range" error="The value you enter into these cells must be greater than 0." promptTitle="Percent range" prompt="The value entered in these cells must be greater than 0." sqref="R13" xr:uid="{00000000-0002-0000-0100-000000000000}">
      <formula1>0</formula1>
    </dataValidation>
    <dataValidation allowBlank="1" showInputMessage="1" promptTitle="Percent range" prompt="The value entered in these cells must be greater than 0." sqref="R14:R15" xr:uid="{00000000-0002-0000-0100-000001000000}"/>
  </dataValidations>
  <hyperlinks>
    <hyperlink ref="A73" r:id="rId1" xr:uid="{00000000-0004-0000-0100-000000000000}"/>
  </hyperlinks>
  <printOptions horizontalCentered="1"/>
  <pageMargins left="0.25" right="0.25" top="0.5" bottom="0.38" header="0.4" footer="0.2"/>
  <pageSetup scale="63" orientation="portrait" blackAndWhite="1" r:id="rId2"/>
  <headerFooter alignWithMargins="0"/>
  <colBreaks count="1" manualBreakCount="1">
    <brk id="10" min="1" max="7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Cow Calf Notes</vt:lpstr>
      <vt:lpstr>Cow Calf COP</vt:lpstr>
    </vt:vector>
  </TitlesOfParts>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Molenhuis</dc:creator>
  <cp:lastModifiedBy>Molenhuis, John (OMAFRA)</cp:lastModifiedBy>
  <cp:lastPrinted>2008-08-22T13:56:24Z</cp:lastPrinted>
  <dcterms:created xsi:type="dcterms:W3CDTF">2003-10-02T13:29:11Z</dcterms:created>
  <dcterms:modified xsi:type="dcterms:W3CDTF">2020-04-29T20:10:52Z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2020-03-09T20:28:53.8995775Z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028680ec-74b2-4068-98f6-0eb8e495d68a</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ies>
</file>