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Data\updatedbudgets\livestock\Goats\2017\"/>
    </mc:Choice>
  </mc:AlternateContent>
  <xr:revisionPtr revIDLastSave="0" documentId="13_ncr:1_{2639B9B9-2676-438D-BF14-80D15FC3A444}" xr6:coauthVersionLast="41" xr6:coauthVersionMax="41" xr10:uidLastSave="{00000000-0000-0000-0000-000000000000}"/>
  <bookViews>
    <workbookView xWindow="-120" yWindow="-120" windowWidth="29040" windowHeight="17640" xr2:uid="{00000000-000D-0000-FFFF-FFFF00000000}"/>
  </bookViews>
  <sheets>
    <sheet name="DGOAT" sheetId="1" r:id="rId1"/>
    <sheet name="Sheet1" sheetId="3" state="hidden" r:id="rId2"/>
    <sheet name="CapitalInvestment" sheetId="2" r:id="rId3"/>
  </sheets>
  <definedNames>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Regression_Int" hidden="1">1</definedName>
    <definedName name="_Sort" localSheetId="2" hidden="1">#REF!</definedName>
    <definedName name="_Sort" hidden="1">#REF!</definedName>
    <definedName name="_Table2_In1" localSheetId="2" hidden="1">#REF!</definedName>
    <definedName name="_Table2_In1" hidden="1">#REF!</definedName>
    <definedName name="_Table2_In2" localSheetId="2" hidden="1">#REF!</definedName>
    <definedName name="_Table2_In2" hidden="1">#REF!</definedName>
    <definedName name="_Table2_Out" localSheetId="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3" l="1"/>
  <c r="E9" i="3"/>
  <c r="E15" i="3"/>
  <c r="E17" i="3"/>
  <c r="E18" i="3"/>
  <c r="E19" i="3"/>
  <c r="E22" i="3"/>
  <c r="D29" i="3"/>
  <c r="D28" i="3"/>
  <c r="F91" i="1"/>
  <c r="AB113" i="1" s="1"/>
  <c r="G91" i="1" s="1"/>
  <c r="AD113" i="1" s="1"/>
  <c r="I91" i="1" s="1"/>
  <c r="F92" i="1"/>
  <c r="AB114" i="1" s="1"/>
  <c r="G92" i="1" s="1"/>
  <c r="AD114" i="1" s="1"/>
  <c r="I92" i="1" s="1"/>
  <c r="AC114" i="1" s="1"/>
  <c r="H92" i="1" s="1"/>
  <c r="F93" i="1"/>
  <c r="F94" i="1"/>
  <c r="AB116" i="1"/>
  <c r="G94" i="1" s="1"/>
  <c r="AD116" i="1" s="1"/>
  <c r="I94" i="1" s="1"/>
  <c r="F95" i="1"/>
  <c r="F96" i="1"/>
  <c r="F97" i="1"/>
  <c r="F98" i="1"/>
  <c r="AB120" i="1"/>
  <c r="G98" i="1" s="1"/>
  <c r="AD120" i="1" s="1"/>
  <c r="I98" i="1" s="1"/>
  <c r="F99" i="1"/>
  <c r="AB121" i="1" s="1"/>
  <c r="G99" i="1" s="1"/>
  <c r="F100" i="1"/>
  <c r="F101" i="1"/>
  <c r="F102" i="1"/>
  <c r="AB124" i="1" s="1"/>
  <c r="G102" i="1" s="1"/>
  <c r="AD124" i="1" s="1"/>
  <c r="I102" i="1" s="1"/>
  <c r="AC124" i="1" s="1"/>
  <c r="H102" i="1" s="1"/>
  <c r="F103" i="1"/>
  <c r="F90" i="1"/>
  <c r="AB112" i="1"/>
  <c r="G90" i="1" s="1"/>
  <c r="AD112" i="1" s="1"/>
  <c r="I90" i="1" s="1"/>
  <c r="D26" i="3"/>
  <c r="D25" i="3"/>
  <c r="D21" i="3"/>
  <c r="E21" i="3" s="1"/>
  <c r="D20" i="3"/>
  <c r="E20" i="3" s="1"/>
  <c r="D8" i="3"/>
  <c r="E8" i="3" s="1"/>
  <c r="D10" i="3"/>
  <c r="E10" i="3" s="1"/>
  <c r="D11" i="3"/>
  <c r="E11" i="3" s="1"/>
  <c r="D12" i="3"/>
  <c r="E12" i="3" s="1"/>
  <c r="D13" i="3"/>
  <c r="E13" i="3" s="1"/>
  <c r="D14" i="3"/>
  <c r="E14" i="3" s="1"/>
  <c r="D15" i="3"/>
  <c r="D16" i="3"/>
  <c r="E16" i="3" s="1"/>
  <c r="D7" i="3"/>
  <c r="E7" i="3" s="1"/>
  <c r="I2" i="3"/>
  <c r="C5" i="3"/>
  <c r="C3" i="3"/>
  <c r="D3" i="3"/>
  <c r="E3" i="3"/>
  <c r="F3" i="3"/>
  <c r="G3" i="3"/>
  <c r="H3" i="3"/>
  <c r="B3" i="3"/>
  <c r="I3" i="3" s="1"/>
  <c r="C4" i="3"/>
  <c r="D4" i="3"/>
  <c r="D5" i="3" s="1"/>
  <c r="E4" i="3"/>
  <c r="E5" i="3" s="1"/>
  <c r="F4" i="3"/>
  <c r="F5" i="3" s="1"/>
  <c r="G4" i="3"/>
  <c r="G5" i="3" s="1"/>
  <c r="H4" i="3"/>
  <c r="H5" i="3" s="1"/>
  <c r="B4" i="3"/>
  <c r="AB115" i="1"/>
  <c r="G93" i="1" s="1"/>
  <c r="AD115" i="1" s="1"/>
  <c r="I93" i="1" s="1"/>
  <c r="AB117" i="1"/>
  <c r="G95" i="1" s="1"/>
  <c r="AD117" i="1" s="1"/>
  <c r="I95" i="1" s="1"/>
  <c r="AB118" i="1"/>
  <c r="G96" i="1" s="1"/>
  <c r="AD118" i="1" s="1"/>
  <c r="I96" i="1" s="1"/>
  <c r="AB119" i="1"/>
  <c r="G97" i="1" s="1"/>
  <c r="AD119" i="1" s="1"/>
  <c r="I97" i="1" s="1"/>
  <c r="AD121" i="1"/>
  <c r="I99" i="1" s="1"/>
  <c r="AB122" i="1"/>
  <c r="G100" i="1" s="1"/>
  <c r="AD122" i="1" s="1"/>
  <c r="I100" i="1" s="1"/>
  <c r="AB123" i="1"/>
  <c r="G101" i="1" s="1"/>
  <c r="AD123" i="1" s="1"/>
  <c r="I101" i="1" s="1"/>
  <c r="AB125" i="1"/>
  <c r="G103" i="1" s="1"/>
  <c r="AD125" i="1" s="1"/>
  <c r="I103" i="1" s="1"/>
  <c r="F56" i="1"/>
  <c r="AB62" i="1" s="1"/>
  <c r="F55" i="1"/>
  <c r="AB61" i="1" s="1"/>
  <c r="G55" i="1" s="1"/>
  <c r="AB69" i="1" s="1"/>
  <c r="I55" i="1" s="1"/>
  <c r="F54" i="1"/>
  <c r="AB60" i="1" s="1"/>
  <c r="G54" i="1"/>
  <c r="AB68" i="1" s="1"/>
  <c r="I54" i="1" s="1"/>
  <c r="F53" i="1"/>
  <c r="AB59" i="1"/>
  <c r="G53" i="1" s="1"/>
  <c r="AB67" i="1" s="1"/>
  <c r="I53" i="1" s="1"/>
  <c r="F52" i="1"/>
  <c r="AB58" i="1" s="1"/>
  <c r="G52" i="1" s="1"/>
  <c r="AB66" i="1" s="1"/>
  <c r="I52" i="1"/>
  <c r="F51" i="1"/>
  <c r="AB57" i="1"/>
  <c r="G51" i="1" s="1"/>
  <c r="AB65" i="1" s="1"/>
  <c r="I51" i="1" s="1"/>
  <c r="F50" i="1"/>
  <c r="AB56" i="1" s="1"/>
  <c r="G50" i="1" s="1"/>
  <c r="AB64" i="1" s="1"/>
  <c r="I50" i="1" s="1"/>
  <c r="F49" i="1"/>
  <c r="F48" i="1"/>
  <c r="AB52" i="1" s="1"/>
  <c r="G48" i="1" s="1"/>
  <c r="F47" i="1"/>
  <c r="F46" i="1"/>
  <c r="F45" i="1"/>
  <c r="F44" i="1"/>
  <c r="AB44" i="1" s="1"/>
  <c r="G44" i="1" s="1"/>
  <c r="E146" i="1"/>
  <c r="AF46" i="1"/>
  <c r="AF47" i="1"/>
  <c r="AF45" i="1"/>
  <c r="AF44" i="1"/>
  <c r="AB14" i="2"/>
  <c r="C43" i="2"/>
  <c r="D43" i="2" s="1"/>
  <c r="C31" i="2"/>
  <c r="D31" i="2" s="1"/>
  <c r="AD39" i="2" s="1"/>
  <c r="C26" i="2"/>
  <c r="D26" i="2" s="1"/>
  <c r="C25" i="2"/>
  <c r="D25" i="2" s="1"/>
  <c r="C30" i="2"/>
  <c r="D30" i="2" s="1"/>
  <c r="AD38" i="2" s="1"/>
  <c r="AB6" i="2"/>
  <c r="AB24" i="2" s="1"/>
  <c r="C38" i="2" s="1"/>
  <c r="D38" i="2" s="1"/>
  <c r="E144" i="1" s="1"/>
  <c r="AB190" i="1" s="1"/>
  <c r="G144" i="1" s="1"/>
  <c r="AB191" i="1" s="1"/>
  <c r="I144" i="1" s="1"/>
  <c r="AC159" i="1" s="1"/>
  <c r="H144" i="1" s="1"/>
  <c r="C42" i="2"/>
  <c r="D42" i="2" s="1"/>
  <c r="AB72" i="1"/>
  <c r="G60" i="1" s="1"/>
  <c r="AB73" i="1" s="1"/>
  <c r="I60" i="1" s="1"/>
  <c r="AB45" i="1"/>
  <c r="I44" i="1" s="1"/>
  <c r="AB46" i="1"/>
  <c r="G45" i="1" s="1"/>
  <c r="AB47" i="1" s="1"/>
  <c r="I45" i="1" s="1"/>
  <c r="AB48" i="1"/>
  <c r="G46" i="1" s="1"/>
  <c r="AB49" i="1" s="1"/>
  <c r="I46" i="1" s="1"/>
  <c r="AC46" i="1" s="1"/>
  <c r="H46" i="1" s="1"/>
  <c r="AB50" i="1"/>
  <c r="G47" i="1" s="1"/>
  <c r="AB51" i="1" s="1"/>
  <c r="I47" i="1" s="1"/>
  <c r="AB53" i="1"/>
  <c r="I48" i="1" s="1"/>
  <c r="AB54" i="1"/>
  <c r="G49" i="1" s="1"/>
  <c r="AB63" i="1" s="1"/>
  <c r="AB70" i="1"/>
  <c r="G56" i="1" s="1"/>
  <c r="AB71" i="1" s="1"/>
  <c r="I56" i="1" s="1"/>
  <c r="AB75" i="1"/>
  <c r="I63" i="1" s="1"/>
  <c r="AB8" i="1"/>
  <c r="F20" i="1" s="1"/>
  <c r="AB3" i="1"/>
  <c r="E11" i="1" s="1"/>
  <c r="F86" i="1" s="1"/>
  <c r="AB98" i="1" s="1"/>
  <c r="G86" i="1" s="1"/>
  <c r="AB109" i="1" s="1"/>
  <c r="I86" i="1" s="1"/>
  <c r="AC109" i="1" s="1"/>
  <c r="H86" i="1" s="1"/>
  <c r="AB179" i="1"/>
  <c r="E137" i="1" s="1"/>
  <c r="F37" i="1"/>
  <c r="AB133" i="1" s="1"/>
  <c r="G109" i="1" s="1"/>
  <c r="AB134" i="1" s="1"/>
  <c r="I109" i="1" s="1"/>
  <c r="AB144" i="1"/>
  <c r="I117" i="1" s="1"/>
  <c r="AB145" i="1"/>
  <c r="G119" i="1" s="1"/>
  <c r="AB146" i="1"/>
  <c r="I119" i="1" s="1"/>
  <c r="AB147" i="1"/>
  <c r="G120" i="1" s="1"/>
  <c r="AB148" i="1"/>
  <c r="I120" i="1" s="1"/>
  <c r="AB16" i="1" s="1"/>
  <c r="L26" i="1" s="1"/>
  <c r="AB149" i="1"/>
  <c r="G121" i="1" s="1"/>
  <c r="AB150" i="1"/>
  <c r="I121" i="1" s="1"/>
  <c r="AB151" i="1"/>
  <c r="G122" i="1" s="1"/>
  <c r="AB152" i="1"/>
  <c r="I122" i="1" s="1"/>
  <c r="AC139" i="1" s="1"/>
  <c r="H122" i="1" s="1"/>
  <c r="AB157" i="1"/>
  <c r="G125" i="1" s="1"/>
  <c r="AB158" i="1"/>
  <c r="I125" i="1" s="1"/>
  <c r="AB159" i="1"/>
  <c r="G126" i="1" s="1"/>
  <c r="AB160" i="1"/>
  <c r="I126" i="1" s="1"/>
  <c r="AB26" i="1" s="1"/>
  <c r="L29" i="1" s="1"/>
  <c r="AB161" i="1"/>
  <c r="G127" i="1" s="1"/>
  <c r="AB162" i="1"/>
  <c r="I127" i="1" s="1"/>
  <c r="AB163" i="1"/>
  <c r="G128" i="1" s="1"/>
  <c r="AB164" i="1"/>
  <c r="I128" i="1" s="1"/>
  <c r="AC145" i="1" s="1"/>
  <c r="H128" i="1" s="1"/>
  <c r="AB167" i="1"/>
  <c r="G129" i="1" s="1"/>
  <c r="AB168" i="1"/>
  <c r="I129" i="1" s="1"/>
  <c r="AB192" i="1"/>
  <c r="G132" i="1" s="1"/>
  <c r="AB193" i="1"/>
  <c r="I132" i="1" s="1"/>
  <c r="AC149" i="1" s="1"/>
  <c r="H132" i="1" s="1"/>
  <c r="AB177" i="1"/>
  <c r="G133" i="1" s="1"/>
  <c r="AB178" i="1"/>
  <c r="I133" i="1" s="1"/>
  <c r="AB132" i="1"/>
  <c r="I107" i="1" s="1"/>
  <c r="AB153" i="1"/>
  <c r="G123" i="1" s="1"/>
  <c r="AB154" i="1" s="1"/>
  <c r="I123" i="1" s="1"/>
  <c r="AB155" i="1"/>
  <c r="G124" i="1" s="1"/>
  <c r="AB156" i="1" s="1"/>
  <c r="I124" i="1" s="1"/>
  <c r="AB30" i="1"/>
  <c r="E32" i="1" s="1"/>
  <c r="AC150" i="1" s="1"/>
  <c r="H133" i="1" s="1"/>
  <c r="AB195" i="1"/>
  <c r="G145" i="1" s="1"/>
  <c r="AB196" i="1"/>
  <c r="I145" i="1" s="1"/>
  <c r="AB198" i="1"/>
  <c r="G146" i="1" s="1"/>
  <c r="AB199" i="1"/>
  <c r="I146" i="1" s="1"/>
  <c r="AC161" i="1" s="1"/>
  <c r="H146" i="1" s="1"/>
  <c r="AB19" i="1"/>
  <c r="E29" i="1" s="1"/>
  <c r="AB20" i="1"/>
  <c r="F29" i="1" s="1"/>
  <c r="AB28" i="1"/>
  <c r="F31" i="1" s="1"/>
  <c r="AB31" i="1"/>
  <c r="F32" i="1" s="1"/>
  <c r="AB32" i="1" s="1"/>
  <c r="I32" i="1" s="1"/>
  <c r="AB23" i="1"/>
  <c r="E30" i="1"/>
  <c r="AB24" i="1"/>
  <c r="F30" i="1"/>
  <c r="AB25" i="1" s="1"/>
  <c r="I30" i="1" s="1"/>
  <c r="AB13" i="1"/>
  <c r="I26" i="1"/>
  <c r="AB34" i="1" s="1"/>
  <c r="G26" i="1" s="1"/>
  <c r="AB15" i="1"/>
  <c r="I27" i="1"/>
  <c r="AB35" i="1" s="1"/>
  <c r="G27" i="1" s="1"/>
  <c r="AB17" i="1"/>
  <c r="I28" i="1"/>
  <c r="AB36" i="1" s="1"/>
  <c r="G28" i="1" s="1"/>
  <c r="AB166" i="1"/>
  <c r="AB169" i="1"/>
  <c r="AB172" i="1"/>
  <c r="AB176" i="1"/>
  <c r="AB186" i="1"/>
  <c r="AB189" i="1"/>
  <c r="AB194" i="1"/>
  <c r="AB197" i="1"/>
  <c r="AB230" i="1"/>
  <c r="J134" i="1" s="1"/>
  <c r="AB232" i="1"/>
  <c r="J135" i="1" s="1"/>
  <c r="AB9" i="1"/>
  <c r="G20" i="1" s="1"/>
  <c r="AB7" i="1"/>
  <c r="E20" i="1" s="1"/>
  <c r="AB226" i="1" s="1"/>
  <c r="J131" i="1" s="1"/>
  <c r="D60" i="1"/>
  <c r="AB165" i="1"/>
  <c r="AB175" i="1"/>
  <c r="AB227" i="1"/>
  <c r="J132" i="1"/>
  <c r="AB11" i="1"/>
  <c r="L23" i="1" s="1"/>
  <c r="AB43" i="1"/>
  <c r="I41" i="1"/>
  <c r="AB185" i="1"/>
  <c r="I142" i="1" s="1"/>
  <c r="AB141" i="1"/>
  <c r="AB137" i="1"/>
  <c r="G111" i="1" s="1"/>
  <c r="AB138" i="1" s="1"/>
  <c r="I111" i="1" s="1"/>
  <c r="AC128" i="1" s="1"/>
  <c r="H111" i="1" s="1"/>
  <c r="AC53" i="1"/>
  <c r="H52" i="1" s="1"/>
  <c r="AB55" i="1"/>
  <c r="I49" i="1" s="1"/>
  <c r="AC49" i="1" s="1"/>
  <c r="H49" i="1" s="1"/>
  <c r="G113" i="1"/>
  <c r="AB142" i="1" s="1"/>
  <c r="I113" i="1" s="1"/>
  <c r="AC130" i="1" s="1"/>
  <c r="H113" i="1" s="1"/>
  <c r="AB21" i="1"/>
  <c r="I29" i="1" s="1"/>
  <c r="AB37" i="1" s="1"/>
  <c r="G29" i="1" s="1"/>
  <c r="AC146" i="1"/>
  <c r="H129" i="1" s="1"/>
  <c r="AC44" i="1"/>
  <c r="H44" i="1" s="1"/>
  <c r="AC26" i="1"/>
  <c r="H26" i="1" s="1"/>
  <c r="AC28" i="1"/>
  <c r="H28" i="1" s="1"/>
  <c r="AC27" i="1"/>
  <c r="H27" i="1" s="1"/>
  <c r="AC144" i="1"/>
  <c r="H127" i="1" s="1"/>
  <c r="AB143" i="1"/>
  <c r="AB74" i="1"/>
  <c r="AB139" i="1"/>
  <c r="AB42" i="1"/>
  <c r="G112" i="1"/>
  <c r="AB140" i="1" s="1"/>
  <c r="I112" i="1" s="1"/>
  <c r="AC129" i="1" s="1"/>
  <c r="H112" i="1" s="1"/>
  <c r="F142" i="1"/>
  <c r="F117" i="1"/>
  <c r="AB38" i="1" l="1"/>
  <c r="G30" i="1" s="1"/>
  <c r="AC30" i="1"/>
  <c r="H30" i="1" s="1"/>
  <c r="AC55" i="1"/>
  <c r="H54" i="1" s="1"/>
  <c r="AC117" i="1"/>
  <c r="H95" i="1" s="1"/>
  <c r="F78" i="1"/>
  <c r="AB90" i="1" s="1"/>
  <c r="G78" i="1" s="1"/>
  <c r="AB101" i="1" s="1"/>
  <c r="I78" i="1" s="1"/>
  <c r="AC101" i="1" s="1"/>
  <c r="H78" i="1" s="1"/>
  <c r="AC112" i="1"/>
  <c r="H90" i="1" s="1"/>
  <c r="AC120" i="1"/>
  <c r="H98" i="1" s="1"/>
  <c r="AB135" i="1"/>
  <c r="G110" i="1" s="1"/>
  <c r="AB136" i="1" s="1"/>
  <c r="I110" i="1" s="1"/>
  <c r="C32" i="2"/>
  <c r="D32" i="2" s="1"/>
  <c r="E143" i="1" s="1"/>
  <c r="AB187" i="1" s="1"/>
  <c r="G143" i="1" s="1"/>
  <c r="AB188" i="1" s="1"/>
  <c r="I143" i="1" s="1"/>
  <c r="AC51" i="1"/>
  <c r="H50" i="1" s="1"/>
  <c r="AC115" i="1"/>
  <c r="H93" i="1" s="1"/>
  <c r="AC116" i="1"/>
  <c r="H94" i="1" s="1"/>
  <c r="AC113" i="1"/>
  <c r="H91" i="1" s="1"/>
  <c r="AB234" i="1"/>
  <c r="J136" i="1" s="1"/>
  <c r="AC141" i="1"/>
  <c r="H124" i="1" s="1"/>
  <c r="AC52" i="1"/>
  <c r="H51" i="1" s="1"/>
  <c r="AC119" i="1"/>
  <c r="H97" i="1" s="1"/>
  <c r="AC118" i="1"/>
  <c r="H96" i="1" s="1"/>
  <c r="AC126" i="1"/>
  <c r="H109" i="1" s="1"/>
  <c r="AB12" i="1"/>
  <c r="L24" i="1" s="1"/>
  <c r="AB18" i="1"/>
  <c r="L27" i="1" s="1"/>
  <c r="AC127" i="1"/>
  <c r="H110" i="1" s="1"/>
  <c r="AC158" i="1"/>
  <c r="H143" i="1" s="1"/>
  <c r="AB201" i="1"/>
  <c r="I148" i="1" s="1"/>
  <c r="AC29" i="1"/>
  <c r="H29" i="1" s="1"/>
  <c r="AB22" i="1"/>
  <c r="L28" i="1" s="1"/>
  <c r="AC140" i="1"/>
  <c r="H123" i="1" s="1"/>
  <c r="AC172" i="1"/>
  <c r="AC136" i="1"/>
  <c r="H119" i="1" s="1"/>
  <c r="AC160" i="1"/>
  <c r="H145" i="1" s="1"/>
  <c r="AB27" i="1"/>
  <c r="E31" i="1" s="1"/>
  <c r="AB29" i="1" s="1"/>
  <c r="I31" i="1" s="1"/>
  <c r="AC122" i="1"/>
  <c r="H100" i="1" s="1"/>
  <c r="I4" i="3"/>
  <c r="B5" i="3"/>
  <c r="I5" i="3" s="1"/>
  <c r="F66" i="1"/>
  <c r="AB76" i="1" s="1"/>
  <c r="G66" i="1" s="1"/>
  <c r="AB77" i="1" s="1"/>
  <c r="I66" i="1" s="1"/>
  <c r="AC74" i="1" s="1"/>
  <c r="H66" i="1" s="1"/>
  <c r="AC137" i="1"/>
  <c r="H120" i="1" s="1"/>
  <c r="AC143" i="1"/>
  <c r="H126" i="1" s="1"/>
  <c r="AC45" i="1"/>
  <c r="H45" i="1" s="1"/>
  <c r="AC153" i="1"/>
  <c r="AC47" i="1"/>
  <c r="H47" i="1" s="1"/>
  <c r="AC54" i="1"/>
  <c r="H53" i="1" s="1"/>
  <c r="AC169" i="1"/>
  <c r="AD31" i="2"/>
  <c r="E131" i="1"/>
  <c r="AB173" i="1" s="1"/>
  <c r="G131" i="1" s="1"/>
  <c r="AB174" i="1" s="1"/>
  <c r="I131" i="1" s="1"/>
  <c r="AC148" i="1" s="1"/>
  <c r="H131" i="1" s="1"/>
  <c r="AC125" i="1"/>
  <c r="H103" i="1" s="1"/>
  <c r="AC121" i="1"/>
  <c r="H99" i="1" s="1"/>
  <c r="D23" i="3"/>
  <c r="E23" i="3" s="1"/>
  <c r="F69" i="1"/>
  <c r="AB82" i="1" s="1"/>
  <c r="G69" i="1" s="1"/>
  <c r="AB83" i="1" s="1"/>
  <c r="I69" i="1" s="1"/>
  <c r="AC77" i="1" s="1"/>
  <c r="H69" i="1" s="1"/>
  <c r="AB228" i="1"/>
  <c r="J133" i="1" s="1"/>
  <c r="AB236" i="1" s="1"/>
  <c r="J137" i="1" s="1"/>
  <c r="AB238" i="1" s="1"/>
  <c r="J138" i="1" s="1"/>
  <c r="AB10" i="1" s="1"/>
  <c r="L19" i="1" s="1"/>
  <c r="AC142" i="1"/>
  <c r="H125" i="1" s="1"/>
  <c r="AC48" i="1"/>
  <c r="H48" i="1" s="1"/>
  <c r="AC138" i="1"/>
  <c r="H121" i="1" s="1"/>
  <c r="F75" i="1"/>
  <c r="AB86" i="1" s="1"/>
  <c r="G75" i="1" s="1"/>
  <c r="AB87" i="1" s="1"/>
  <c r="I75" i="1" s="1"/>
  <c r="AC83" i="1" s="1"/>
  <c r="H75" i="1" s="1"/>
  <c r="F79" i="1"/>
  <c r="AB91" i="1" s="1"/>
  <c r="G79" i="1" s="1"/>
  <c r="AB102" i="1" s="1"/>
  <c r="I79" i="1" s="1"/>
  <c r="AC102" i="1" s="1"/>
  <c r="H79" i="1" s="1"/>
  <c r="F83" i="1"/>
  <c r="AB95" i="1" s="1"/>
  <c r="G83" i="1" s="1"/>
  <c r="AB106" i="1" s="1"/>
  <c r="I83" i="1" s="1"/>
  <c r="AC106" i="1" s="1"/>
  <c r="H83" i="1" s="1"/>
  <c r="F87" i="1"/>
  <c r="AB110" i="1" s="1"/>
  <c r="G87" i="1" s="1"/>
  <c r="AB111" i="1" s="1"/>
  <c r="I87" i="1" s="1"/>
  <c r="AC84" i="1" s="1"/>
  <c r="H87" i="1" s="1"/>
  <c r="F76" i="1"/>
  <c r="AB88" i="1" s="1"/>
  <c r="G76" i="1" s="1"/>
  <c r="AB99" i="1" s="1"/>
  <c r="I76" i="1" s="1"/>
  <c r="AC99" i="1" s="1"/>
  <c r="H76" i="1" s="1"/>
  <c r="F80" i="1"/>
  <c r="AB92" i="1" s="1"/>
  <c r="G80" i="1" s="1"/>
  <c r="AB103" i="1" s="1"/>
  <c r="I80" i="1" s="1"/>
  <c r="AC103" i="1" s="1"/>
  <c r="H80" i="1" s="1"/>
  <c r="F84" i="1"/>
  <c r="AB96" i="1" s="1"/>
  <c r="G84" i="1" s="1"/>
  <c r="AB107" i="1" s="1"/>
  <c r="I84" i="1" s="1"/>
  <c r="AC107" i="1" s="1"/>
  <c r="H84" i="1" s="1"/>
  <c r="F77" i="1"/>
  <c r="AB89" i="1" s="1"/>
  <c r="G77" i="1" s="1"/>
  <c r="AB100" i="1" s="1"/>
  <c r="I77" i="1" s="1"/>
  <c r="AC100" i="1" s="1"/>
  <c r="H77" i="1" s="1"/>
  <c r="F81" i="1"/>
  <c r="AB93" i="1" s="1"/>
  <c r="G81" i="1" s="1"/>
  <c r="AB104" i="1" s="1"/>
  <c r="I81" i="1" s="1"/>
  <c r="AC104" i="1" s="1"/>
  <c r="H81" i="1" s="1"/>
  <c r="F85" i="1"/>
  <c r="AB97" i="1" s="1"/>
  <c r="G85" i="1" s="1"/>
  <c r="AB108" i="1" s="1"/>
  <c r="I85" i="1" s="1"/>
  <c r="AC108" i="1" s="1"/>
  <c r="H85" i="1" s="1"/>
  <c r="E130" i="1"/>
  <c r="AB170" i="1" s="1"/>
  <c r="G130" i="1" s="1"/>
  <c r="AB171" i="1" s="1"/>
  <c r="I130" i="1" s="1"/>
  <c r="AC147" i="1" s="1"/>
  <c r="H130" i="1" s="1"/>
  <c r="AD32" i="2"/>
  <c r="F82" i="1"/>
  <c r="AB94" i="1" s="1"/>
  <c r="G82" i="1" s="1"/>
  <c r="AB105" i="1" s="1"/>
  <c r="I82" i="1" s="1"/>
  <c r="AC105" i="1" s="1"/>
  <c r="H82" i="1" s="1"/>
  <c r="AC50" i="1"/>
  <c r="H56" i="1" s="1"/>
  <c r="AC123" i="1"/>
  <c r="H101" i="1" s="1"/>
  <c r="AB40" i="1"/>
  <c r="G32" i="1" s="1"/>
  <c r="AC32" i="1"/>
  <c r="H32" i="1" s="1"/>
  <c r="AB33" i="1"/>
  <c r="I34" i="1" s="1"/>
  <c r="AB14" i="1"/>
  <c r="L25" i="1" s="1"/>
  <c r="AC56" i="1"/>
  <c r="H55" i="1" s="1"/>
  <c r="F67" i="1" l="1"/>
  <c r="AB78" i="1" s="1"/>
  <c r="G67" i="1" s="1"/>
  <c r="AB79" i="1" s="1"/>
  <c r="I67" i="1" s="1"/>
  <c r="AC75" i="1" s="1"/>
  <c r="H67" i="1" s="1"/>
  <c r="AC31" i="1"/>
  <c r="H31" i="1" s="1"/>
  <c r="AB39" i="1"/>
  <c r="G31" i="1" s="1"/>
  <c r="F72" i="1"/>
  <c r="AB128" i="1" s="1"/>
  <c r="G72" i="1" s="1"/>
  <c r="AB129" i="1" s="1"/>
  <c r="I72" i="1" s="1"/>
  <c r="AC80" i="1" s="1"/>
  <c r="H72" i="1" s="1"/>
  <c r="F70" i="1"/>
  <c r="AB84" i="1" s="1"/>
  <c r="G70" i="1" s="1"/>
  <c r="AB85" i="1" s="1"/>
  <c r="I70" i="1" s="1"/>
  <c r="AC78" i="1" s="1"/>
  <c r="H70" i="1" s="1"/>
  <c r="AC163" i="1"/>
  <c r="H148" i="1" s="1"/>
  <c r="AB5" i="1"/>
  <c r="L17" i="1" s="1"/>
  <c r="AB200" i="1"/>
  <c r="G148" i="1" s="1"/>
  <c r="AB212" i="1"/>
  <c r="F156" i="1" s="1"/>
  <c r="F68" i="1"/>
  <c r="AB80" i="1" s="1"/>
  <c r="G68" i="1" s="1"/>
  <c r="AB81" i="1" s="1"/>
  <c r="I68" i="1" s="1"/>
  <c r="F71" i="1"/>
  <c r="AB126" i="1" s="1"/>
  <c r="G71" i="1" s="1"/>
  <c r="AB127" i="1" s="1"/>
  <c r="I71" i="1" s="1"/>
  <c r="AC79" i="1" s="1"/>
  <c r="H71" i="1" s="1"/>
  <c r="AB41" i="1"/>
  <c r="G34" i="1" s="1"/>
  <c r="AB206" i="1"/>
  <c r="F152" i="1" s="1"/>
  <c r="AC34" i="1"/>
  <c r="H34" i="1" s="1"/>
  <c r="AC171" i="1" l="1"/>
  <c r="AB211" i="1"/>
  <c r="AC76" i="1"/>
  <c r="H68" i="1" s="1"/>
  <c r="AB131" i="1"/>
  <c r="I105" i="1" s="1"/>
  <c r="AB184" i="1"/>
  <c r="K101" i="1" s="1"/>
  <c r="AB181" i="1" s="1"/>
  <c r="I137" i="1" s="1"/>
  <c r="AB6" i="1"/>
  <c r="L18" i="1" s="1"/>
  <c r="AB205" i="1"/>
  <c r="D152" i="1" s="1"/>
  <c r="AC167" i="1"/>
  <c r="E152" i="1" s="1"/>
  <c r="AB225" i="1"/>
  <c r="G169" i="1" s="1"/>
  <c r="I169" i="1" s="1"/>
  <c r="AC86" i="1" l="1"/>
  <c r="H105" i="1" s="1"/>
  <c r="AB183" i="1"/>
  <c r="I139" i="1" s="1"/>
  <c r="AB130" i="1"/>
  <c r="G105" i="1" s="1"/>
  <c r="F163" i="1"/>
  <c r="D156" i="1"/>
  <c r="AB180" i="1"/>
  <c r="G137" i="1" s="1"/>
  <c r="AC152" i="1"/>
  <c r="H137" i="1" s="1"/>
  <c r="E156" i="1"/>
  <c r="G163" i="1"/>
  <c r="AB221" i="1" l="1"/>
  <c r="K126" i="1" s="1"/>
  <c r="AB223" i="1" s="1"/>
  <c r="K127" i="1" s="1"/>
  <c r="AB4" i="1"/>
  <c r="L16" i="1" s="1"/>
  <c r="AB208" i="1"/>
  <c r="F153" i="1" s="1"/>
  <c r="AC154" i="1"/>
  <c r="H139" i="1" s="1"/>
  <c r="AB182" i="1"/>
  <c r="G139" i="1" s="1"/>
  <c r="AB207" i="1" l="1"/>
  <c r="AC168" i="1"/>
  <c r="AB210" i="1"/>
  <c r="F155" i="1" s="1"/>
  <c r="AB220" i="1"/>
  <c r="AB219" i="1"/>
  <c r="F162" i="1" l="1"/>
  <c r="AB202" i="1" s="1"/>
  <c r="F165" i="1" s="1"/>
  <c r="D153" i="1"/>
  <c r="AC170" i="1"/>
  <c r="E155" i="1" s="1"/>
  <c r="AB209" i="1"/>
  <c r="D155" i="1" s="1"/>
  <c r="AB214" i="1"/>
  <c r="F158" i="1" s="1"/>
  <c r="G162" i="1"/>
  <c r="AB203" i="1" s="1"/>
  <c r="G165" i="1" s="1"/>
  <c r="E153" i="1"/>
  <c r="AB218" i="1" l="1"/>
  <c r="AB216" i="1"/>
  <c r="AB213" i="1"/>
  <c r="D158" i="1" s="1"/>
  <c r="AC173" i="1"/>
  <c r="E158" i="1" s="1"/>
  <c r="AB215" i="1"/>
  <c r="AB217" i="1"/>
  <c r="AB240" i="1" l="1"/>
  <c r="K139" i="1" s="1"/>
  <c r="AB239" i="1"/>
  <c r="J139" i="1" s="1"/>
  <c r="AB231" i="1"/>
  <c r="C175" i="1" s="1"/>
  <c r="AB235" i="1"/>
  <c r="C177" i="1" s="1"/>
  <c r="AB233" i="1"/>
  <c r="C176" i="1" s="1"/>
  <c r="AB2" i="1"/>
  <c r="I3" i="1" s="1"/>
  <c r="AB237" i="1"/>
  <c r="C178" i="1" s="1"/>
  <c r="AB229" i="1"/>
  <c r="C174" i="1" s="1"/>
  <c r="AB243" i="1" l="1"/>
  <c r="J144" i="1" s="1"/>
  <c r="AB241" i="1"/>
  <c r="J143" i="1" s="1"/>
  <c r="AB242" i="1"/>
  <c r="K143" i="1" s="1"/>
  <c r="AB244" i="1"/>
  <c r="K144" i="1" s="1"/>
  <c r="AB246" i="1" l="1"/>
  <c r="K145" i="1" s="1"/>
  <c r="AB224" i="1" s="1"/>
  <c r="G168" i="1" s="1"/>
  <c r="AB245" i="1"/>
  <c r="J145" i="1" s="1"/>
  <c r="AB222" i="1" s="1"/>
  <c r="G1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Molenhuis, John (OMAFRA)</author>
  </authors>
  <commentList>
    <comment ref="E17" authorId="0" shapeId="0" xr:uid="{00000000-0006-0000-0000-000001000000}">
      <text>
        <r>
          <rPr>
            <b/>
            <sz val="12"/>
            <color indexed="81"/>
            <rFont val="Arial"/>
            <family val="2"/>
          </rPr>
          <t>The Optimistic estimate is what you would reasonably expect to be seen at least 1 out of every 6 years</t>
        </r>
        <r>
          <rPr>
            <sz val="8"/>
            <color indexed="81"/>
            <rFont val="Tahoma"/>
            <family val="2"/>
          </rPr>
          <t xml:space="preserve">
</t>
        </r>
      </text>
    </comment>
    <comment ref="F1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17" authorId="0" shapeId="0" xr:uid="{00000000-0006-0000-0000-000003000000}">
      <text>
        <r>
          <rPr>
            <b/>
            <sz val="12"/>
            <color indexed="81"/>
            <rFont val="Arial"/>
            <family val="2"/>
          </rPr>
          <t>The Pessimistic expectation should be the poorest result you would reasonably expect to occur 1 out of every 6 years</t>
        </r>
        <r>
          <rPr>
            <b/>
            <sz val="8"/>
            <color indexed="81"/>
            <rFont val="Tahoma"/>
            <family val="2"/>
          </rPr>
          <t xml:space="preserve"> </t>
        </r>
        <r>
          <rPr>
            <sz val="8"/>
            <color indexed="81"/>
            <rFont val="Tahoma"/>
            <family val="2"/>
          </rPr>
          <t xml:space="preserve">
</t>
        </r>
      </text>
    </comment>
    <comment ref="A130" authorId="1" shapeId="0" xr:uid="{00000000-0006-0000-0000-000004000000}">
      <text>
        <r>
          <rPr>
            <sz val="12"/>
            <color indexed="81"/>
            <rFont val="Tahoma"/>
            <family val="2"/>
          </rPr>
          <t xml:space="preserve">Use the Capital Investment worksheet to calculate or direct enter
</t>
        </r>
      </text>
    </comment>
    <comment ref="A131" authorId="1" shapeId="0" xr:uid="{00000000-0006-0000-0000-000005000000}">
      <text>
        <r>
          <rPr>
            <sz val="12"/>
            <color indexed="81"/>
            <rFont val="Tahoma"/>
            <family val="2"/>
          </rPr>
          <t xml:space="preserve">Use the Capital Investment worksheet to calculate or direct enter
</t>
        </r>
      </text>
    </comment>
    <comment ref="A143" authorId="1" shapeId="0" xr:uid="{00000000-0006-0000-0000-000006000000}">
      <text>
        <r>
          <rPr>
            <sz val="12"/>
            <color indexed="81"/>
            <rFont val="Tahoma"/>
            <family val="2"/>
          </rPr>
          <t xml:space="preserve">Use the Capital Investment worksheet to calculate or direct enter
</t>
        </r>
      </text>
    </comment>
    <comment ref="A144" authorId="1" shapeId="0" xr:uid="{00000000-0006-0000-0000-000007000000}">
      <text>
        <r>
          <rPr>
            <sz val="12"/>
            <color indexed="81"/>
            <rFont val="Tahoma"/>
            <family val="2"/>
          </rPr>
          <t xml:space="preserve">Use the Capital Investment worksheet to calculate or direct enter
</t>
        </r>
      </text>
    </comment>
    <comment ref="B169" authorId="0" shapeId="0" xr:uid="{00000000-0006-0000-0000-000008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<sst xmlns="http://schemas.openxmlformats.org/spreadsheetml/2006/main" count="385" uniqueCount="256">
  <si>
    <t>Revised: June 94</t>
  </si>
  <si>
    <t>Number of Milking Does</t>
  </si>
  <si>
    <t>hd</t>
  </si>
  <si>
    <t>Percent Does Culled</t>
  </si>
  <si>
    <t>%</t>
  </si>
  <si>
    <t>Milking Doe Death Loss</t>
  </si>
  <si>
    <t>Weight of Cull Does</t>
  </si>
  <si>
    <t>lbs</t>
  </si>
  <si>
    <t>Price of Cull Does</t>
  </si>
  <si>
    <t>Replacement Does Raised</t>
  </si>
  <si>
    <t>Number of Breeding Bucks</t>
  </si>
  <si>
    <t>Weight of Cull Bucks</t>
  </si>
  <si>
    <t>Price of Cull Bucks</t>
  </si>
  <si>
    <t>Number of Bucks Culled</t>
  </si>
  <si>
    <t xml:space="preserve"> Expected</t>
  </si>
  <si>
    <t>Percent Kid Crop</t>
  </si>
  <si>
    <t>Percent Kid Mortality</t>
  </si>
  <si>
    <t>Marketable Kid Crop</t>
  </si>
  <si>
    <t>$/hd</t>
  </si>
  <si>
    <t>Milk Yield per Doe</t>
  </si>
  <si>
    <t>Tran!D3..G14</t>
  </si>
  <si>
    <t>Price of Milk</t>
  </si>
  <si>
    <t>Allo!C3..J14</t>
  </si>
  <si>
    <t>Expected Revenues:</t>
  </si>
  <si>
    <t>Unit</t>
  </si>
  <si>
    <t>Number</t>
  </si>
  <si>
    <t>$/Unit</t>
  </si>
  <si>
    <t>$/Year</t>
  </si>
  <si>
    <t xml:space="preserve"> Breeding Doe Kid Sales </t>
  </si>
  <si>
    <t xml:space="preserve"> Breeding Buck Kid Sales</t>
  </si>
  <si>
    <t xml:space="preserve"> Other Breeding Stock Sales</t>
  </si>
  <si>
    <t xml:space="preserve"> Cull Doe Sales</t>
  </si>
  <si>
    <t xml:space="preserve"> Cull Buck Sales</t>
  </si>
  <si>
    <t xml:space="preserve"> Market Kid Sales</t>
  </si>
  <si>
    <t xml:space="preserve"> Milk Sales </t>
  </si>
  <si>
    <t>-</t>
  </si>
  <si>
    <t>Expected Total Revenue</t>
  </si>
  <si>
    <t>Number of Does to Base Variable Costs on ==&gt;</t>
  </si>
  <si>
    <t>**</t>
  </si>
  <si>
    <t>**(Enter the herd size used to determine variable costs)</t>
  </si>
  <si>
    <t>EXPENSES</t>
  </si>
  <si>
    <t>Typical</t>
  </si>
  <si>
    <t>$/Doe</t>
  </si>
  <si>
    <t xml:space="preserve"> Variable Costs:</t>
  </si>
  <si>
    <t>--------</t>
  </si>
  <si>
    <t xml:space="preserve">   -----</t>
  </si>
  <si>
    <t xml:space="preserve"> --------</t>
  </si>
  <si>
    <t>Homegrown Feed: (from transfer table)</t>
  </si>
  <si>
    <t xml:space="preserve"> Crop Transfers (based on </t>
  </si>
  <si>
    <t>Does)</t>
  </si>
  <si>
    <t xml:space="preserve">  -------</t>
  </si>
  <si>
    <t>Total Feed Costs</t>
  </si>
  <si>
    <t>Head</t>
  </si>
  <si>
    <t>$/Head</t>
  </si>
  <si>
    <t xml:space="preserve"> Livestock Replacement</t>
  </si>
  <si>
    <t xml:space="preserve">    ----</t>
  </si>
  <si>
    <t xml:space="preserve">  ------</t>
  </si>
  <si>
    <t xml:space="preserve">  Buck Purchase</t>
  </si>
  <si>
    <t xml:space="preserve">  Buck Lease</t>
  </si>
  <si>
    <t xml:space="preserve">  Milking Doe Purchase</t>
  </si>
  <si>
    <t xml:space="preserve">  Replacement Doe Purchase</t>
  </si>
  <si>
    <t xml:space="preserve">  Other -</t>
  </si>
  <si>
    <t xml:space="preserve"> Description</t>
  </si>
  <si>
    <t xml:space="preserve"> -------</t>
  </si>
  <si>
    <t xml:space="preserve"> Veterinary &amp; Medicine</t>
  </si>
  <si>
    <t xml:space="preserve"> Breeding Costs</t>
  </si>
  <si>
    <t xml:space="preserve"> Bedding</t>
  </si>
  <si>
    <t xml:space="preserve"> Livestock Supplies</t>
  </si>
  <si>
    <t xml:space="preserve"> Custom Work</t>
  </si>
  <si>
    <t xml:space="preserve"> Fuel</t>
  </si>
  <si>
    <t xml:space="preserve"> Mach. Repair &amp; Maint.</t>
  </si>
  <si>
    <t>Wfarm!L4</t>
  </si>
  <si>
    <t>Wfarm!L5</t>
  </si>
  <si>
    <t>Wfarm!L6</t>
  </si>
  <si>
    <t xml:space="preserve"> General Variable Costs</t>
  </si>
  <si>
    <t>Wfarm!L7</t>
  </si>
  <si>
    <t xml:space="preserve"> Interest on</t>
  </si>
  <si>
    <t>%int</t>
  </si>
  <si>
    <t>%year</t>
  </si>
  <si>
    <t>Wfarm!L8</t>
  </si>
  <si>
    <t xml:space="preserve"> Operating Capital</t>
  </si>
  <si>
    <t>Total Variable Costs</t>
  </si>
  <si>
    <t>Wfarm!L9</t>
  </si>
  <si>
    <t>Fixed Costs:</t>
  </si>
  <si>
    <t xml:space="preserve"> Depreciation</t>
  </si>
  <si>
    <t xml:space="preserve"> Long-term Leases</t>
  </si>
  <si>
    <t>Wfarm!K4</t>
  </si>
  <si>
    <t>Wfarm!K5</t>
  </si>
  <si>
    <t>Wfarm!K6</t>
  </si>
  <si>
    <t>Total Fixed Costs</t>
  </si>
  <si>
    <t>Wfarm!K7</t>
  </si>
  <si>
    <t>Revenues:</t>
  </si>
  <si>
    <t>Total Expected Revenues</t>
  </si>
  <si>
    <t xml:space="preserve">    less: Variable Costs</t>
  </si>
  <si>
    <t xml:space="preserve">     less: Fixed Costs</t>
  </si>
  <si>
    <t>Expected Net Revenue</t>
  </si>
  <si>
    <t>Needed to Cover:</t>
  </si>
  <si>
    <t>Variable Costs</t>
  </si>
  <si>
    <t>Fixed Costs</t>
  </si>
  <si>
    <t>Total Costs</t>
  </si>
  <si>
    <t>Chance of at least breaking even        ==&gt;</t>
  </si>
  <si>
    <t>StdPrKids</t>
  </si>
  <si>
    <t>Chance of at least</t>
  </si>
  <si>
    <t>$/doe return ==&gt;</t>
  </si>
  <si>
    <t>VarKids</t>
  </si>
  <si>
    <t>StdPrMilk</t>
  </si>
  <si>
    <t>Returns $/Doe</t>
  </si>
  <si>
    <t>Chances of at least</t>
  </si>
  <si>
    <t>VarMilk</t>
  </si>
  <si>
    <t>this return per doe</t>
  </si>
  <si>
    <t>VarSum</t>
  </si>
  <si>
    <t>StdSum</t>
  </si>
  <si>
    <t xml:space="preserve">       17 %</t>
  </si>
  <si>
    <t>z</t>
  </si>
  <si>
    <t xml:space="preserve">       33 %</t>
  </si>
  <si>
    <t>v1</t>
  </si>
  <si>
    <t xml:space="preserve">       50 %</t>
  </si>
  <si>
    <t>v2</t>
  </si>
  <si>
    <t xml:space="preserve">       67 %</t>
  </si>
  <si>
    <t>p(vx)</t>
  </si>
  <si>
    <t xml:space="preserve">       83 %</t>
  </si>
  <si>
    <t/>
  </si>
  <si>
    <t xml:space="preserve">The user of this worksheet assumes all responsibility. </t>
  </si>
  <si>
    <t>For more information:</t>
  </si>
  <si>
    <t>OMAFRA Agricultural Information Centre</t>
  </si>
  <si>
    <t>1-877-424-1300</t>
  </si>
  <si>
    <t>Selling Price of Male Kids</t>
  </si>
  <si>
    <t>$/head</t>
  </si>
  <si>
    <t>Conception rate</t>
  </si>
  <si>
    <t>$/doe</t>
  </si>
  <si>
    <t>lbs per day</t>
  </si>
  <si>
    <t># of days</t>
  </si>
  <si>
    <t># of head</t>
  </si>
  <si>
    <t>cents per lb</t>
  </si>
  <si>
    <t>Price</t>
  </si>
  <si>
    <t>Days on feed</t>
  </si>
  <si>
    <t>Amount fed</t>
  </si>
  <si>
    <t>Hay</t>
  </si>
  <si>
    <t>Grain</t>
  </si>
  <si>
    <t>Doe kid feed costs</t>
  </si>
  <si>
    <t>Prepared feeds</t>
  </si>
  <si>
    <t>Pasture</t>
  </si>
  <si>
    <t>Replacement doeling feed costs</t>
  </si>
  <si>
    <t xml:space="preserve"> Labour</t>
  </si>
  <si>
    <t>$/litre</t>
  </si>
  <si>
    <t>litres</t>
  </si>
  <si>
    <t>litre/hd</t>
  </si>
  <si>
    <t xml:space="preserve"> Marketing &amp; Transportation</t>
  </si>
  <si>
    <t xml:space="preserve"> Utilities</t>
  </si>
  <si>
    <t xml:space="preserve"> Tags</t>
  </si>
  <si>
    <t xml:space="preserve"> Miscellaneous </t>
  </si>
  <si>
    <t>Use $/doe  OR   $/Year column</t>
  </si>
  <si>
    <t xml:space="preserve"> Equip/Land Rent</t>
  </si>
  <si>
    <t>Manure Handling</t>
  </si>
  <si>
    <t xml:space="preserve">        **(including property taxes, fire and liability insurance etc)</t>
  </si>
  <si>
    <t xml:space="preserve"> General Fixed Costs**</t>
  </si>
  <si>
    <t>Doe</t>
  </si>
  <si>
    <t xml:space="preserve"> Litre of milk</t>
  </si>
  <si>
    <t>Expected Break-even per ====================&gt;</t>
  </si>
  <si>
    <t xml:space="preserve">         *(including professional fees, office, vehicle expenses etc)</t>
  </si>
  <si>
    <t>DAIRY GOAT HERD ENTERPRISE BUDGET</t>
  </si>
  <si>
    <t>Return Per Doe:</t>
  </si>
  <si>
    <t>This is a cost of production budgeting tool that has 2 worksheets. There are fields that can be completed by the user. It is up to 21 columns wide and 252 rows.</t>
  </si>
  <si>
    <t>Capital Investments</t>
  </si>
  <si>
    <t>Total</t>
  </si>
  <si>
    <t>Buildings</t>
  </si>
  <si>
    <t>Handling Facility</t>
  </si>
  <si>
    <t>Machinery and Equipment</t>
  </si>
  <si>
    <t xml:space="preserve">Annual Costs of Capital Investment </t>
  </si>
  <si>
    <t>Repairs and maintenance</t>
  </si>
  <si>
    <t>$ per year</t>
  </si>
  <si>
    <t>buildings, fence</t>
  </si>
  <si>
    <t>Mach, water</t>
  </si>
  <si>
    <t>Depreciation</t>
  </si>
  <si>
    <t>Useful life</t>
  </si>
  <si>
    <t>Years</t>
  </si>
  <si>
    <t>Salvage value (value at end of useful life)</t>
  </si>
  <si>
    <t>% of original cost</t>
  </si>
  <si>
    <t>Insurance</t>
  </si>
  <si>
    <t>% of value</t>
  </si>
  <si>
    <t>Kid Feeding Barn</t>
  </si>
  <si>
    <t>$ per doe</t>
  </si>
  <si>
    <t>Kidding and Lactation Barn</t>
  </si>
  <si>
    <t>Field Equipment</t>
  </si>
  <si>
    <t>Tractors/Self propelled equipment</t>
  </si>
  <si>
    <t>Barn equipment</t>
  </si>
  <si>
    <t>OR Provide details</t>
  </si>
  <si>
    <r>
      <t>All Buildings</t>
    </r>
    <r>
      <rPr>
        <b/>
        <vertAlign val="superscript"/>
        <sz val="12"/>
        <color rgb="FF0000FF"/>
        <rFont val="Arial"/>
        <family val="2"/>
      </rPr>
      <t>1</t>
    </r>
  </si>
  <si>
    <r>
      <t>All Machinery and Equipment</t>
    </r>
    <r>
      <rPr>
        <b/>
        <vertAlign val="superscript"/>
        <sz val="12"/>
        <color rgb="FF0000FF"/>
        <rFont val="Arial"/>
        <family val="2"/>
      </rPr>
      <t>1</t>
    </r>
  </si>
  <si>
    <t>Dairy Barn</t>
  </si>
  <si>
    <t>Hay and Grain Storage</t>
  </si>
  <si>
    <t>Trucks</t>
  </si>
  <si>
    <t>Crop values $/tonne</t>
  </si>
  <si>
    <t>hay</t>
  </si>
  <si>
    <t>corn</t>
  </si>
  <si>
    <t>$/lb</t>
  </si>
  <si>
    <t>salt/mineral</t>
  </si>
  <si>
    <t>prot suppl</t>
  </si>
  <si>
    <t xml:space="preserve">Interest rate on investment </t>
  </si>
  <si>
    <t>(weighted average of equity and borrowed investment)</t>
  </si>
  <si>
    <t>Optimistic</t>
  </si>
  <si>
    <t>Pessimistic</t>
  </si>
  <si>
    <t xml:space="preserve">Risk Indicator - </t>
  </si>
  <si>
    <t>Coefficient of variation                 ==&gt;</t>
  </si>
  <si>
    <t>Low Risk</t>
  </si>
  <si>
    <t>Moderate Risk</t>
  </si>
  <si>
    <t>High Risk</t>
  </si>
  <si>
    <t>ag.info.omafra@ontario.ca</t>
  </si>
  <si>
    <t xml:space="preserve"> Bldg and Fence Repair &amp; Maint.</t>
  </si>
  <si>
    <t xml:space="preserve">
% of value</t>
  </si>
  <si>
    <t>[1] Source: 2016 Ontario Goat Cost of Production Study</t>
  </si>
  <si>
    <t>Average building and machinery investment</t>
  </si>
  <si>
    <t xml:space="preserve"> Interest on building and machinery investment</t>
  </si>
  <si>
    <t>Corn Silage</t>
  </si>
  <si>
    <t>Haylage</t>
  </si>
  <si>
    <t>Soybean Meal</t>
  </si>
  <si>
    <t>Dried Distillers Grains</t>
  </si>
  <si>
    <t>High Moisture Corn</t>
  </si>
  <si>
    <t>Beet Pulp</t>
  </si>
  <si>
    <t>Dry Hay</t>
  </si>
  <si>
    <t>Molasses</t>
  </si>
  <si>
    <t>Balage</t>
  </si>
  <si>
    <t>Mixed Grains</t>
  </si>
  <si>
    <t>Custom Pellets</t>
  </si>
  <si>
    <t>Vitamins Mixes</t>
  </si>
  <si>
    <t>Minerals Mixes</t>
  </si>
  <si>
    <t>Milk Replacer</t>
  </si>
  <si>
    <t>Dry Corn</t>
  </si>
  <si>
    <t>Dried Distiller's Grains</t>
  </si>
  <si>
    <t>Vitamins</t>
  </si>
  <si>
    <t>Minerals</t>
  </si>
  <si>
    <t xml:space="preserve">Dried Distiller's Grain </t>
  </si>
  <si>
    <t>Milking herd feed costs</t>
  </si>
  <si>
    <t>Dry doe feed costs</t>
  </si>
  <si>
    <t>Other</t>
  </si>
  <si>
    <t>Corn</t>
  </si>
  <si>
    <t>Silage</t>
  </si>
  <si>
    <t>Jan</t>
  </si>
  <si>
    <t>Feb</t>
  </si>
  <si>
    <t>Mar</t>
  </si>
  <si>
    <t>Apr</t>
  </si>
  <si>
    <t>May</t>
  </si>
  <si>
    <t>Jun</t>
  </si>
  <si>
    <t>Jul</t>
  </si>
  <si>
    <t>per lb</t>
  </si>
  <si>
    <t>avg</t>
  </si>
  <si>
    <t>wt</t>
  </si>
  <si>
    <t>price</t>
  </si>
  <si>
    <t>price per lb</t>
  </si>
  <si>
    <t>Soybean meal</t>
  </si>
  <si>
    <t>DDGS</t>
  </si>
  <si>
    <t>Protein</t>
  </si>
  <si>
    <t>per tonne</t>
  </si>
  <si>
    <t>Milk replacer</t>
  </si>
  <si>
    <t>Expected Contribution Margin</t>
  </si>
  <si>
    <t>Revised: Mar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</si>
</sst>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4" formatCode="_-&quot;$&quot;* #,##0.00_-;\-&quot;$&quot;* #,##0.00_-;_-&quot;$&quot;* &quot;-&quot;??_-;_-@_-"/>
    <numFmt numFmtId="164" formatCode="&quot;$&quot;#,##0_);\(&quot;$&quot;#,##0\)"/>
    <numFmt numFmtId="165" formatCode="&quot;$&quot;#,##0.00_);\(&quot;$&quot;#,##0.00\)"/>
    <numFmt numFmtId="166" formatCode=";;;"/>
    <numFmt numFmtId="167" formatCode="0.00_)"/>
    <numFmt numFmtId="168" formatCode="0_)"/>
    <numFmt numFmtId="169" formatCode="0.0_)"/>
    <numFmt numFmtId="170" formatCode="0.0%"/>
    <numFmt numFmtId="171" formatCode="&quot;$&quot;#,##0.0000_);\(&quot;$&quot;#,##0.0000\)"/>
    <numFmt numFmtId="172" formatCode="0.0"/>
    <numFmt numFmtId="173" formatCode="&quot;$&quot;#,##0.0;[Red]\-&quot;$&quot;#,##0.0"/>
    <numFmt numFmtId="174" formatCode="&quot;$&quot;#,##0_);[Red]\(&quot;$&quot;#,##0\)"/>
    <numFmt numFmtId="175" formatCode="&quot;$&quot;#,##0.00_);[Red]\(&quot;$&quot;#,##0.00\)"/>
    <numFmt numFmtId="176" formatCode="_-&quot;$&quot;* #,##0_-;\-&quot;$&quot;* #,##0_-;_-&quot;$&quot;* &quot;-&quot;??_-;_-@_-"/>
    <numFmt numFmtId="177" formatCode="0.000_)"/>
  </numFmts>
  <fonts count="25" x14ac:knownFonts="1">
    <font>
      <sz val="10"/>
      <name val="Arial"/>
    </font>
    <font>
      <sz val="10"/>
      <name val="Courier"/>
      <family val="3"/>
    </font>
    <font>
      <b/>
      <sz val="9"/>
      <color indexed="8"/>
      <name val="Arial"/>
      <family val="2"/>
    </font>
    <font>
      <sz val="9"/>
      <name val="Courier New"/>
      <family val="3"/>
    </font>
    <font>
      <sz val="8"/>
      <name val="Arial"/>
      <family val="2"/>
    </font>
    <font>
      <u/>
      <sz val="10"/>
      <color indexed="12"/>
      <name val="Arial"/>
      <family val="2"/>
    </font>
    <font>
      <sz val="10"/>
      <name val="Arial"/>
      <family val="2"/>
    </font>
    <font>
      <sz val="12"/>
      <name val="Courier"/>
      <family val="3"/>
    </font>
    <font>
      <b/>
      <sz val="12"/>
      <color indexed="8"/>
      <name val="Arial"/>
      <family val="2"/>
    </font>
    <font>
      <b/>
      <sz val="12"/>
      <color indexed="12"/>
      <name val="Arial"/>
      <family val="2"/>
    </font>
    <font>
      <u/>
      <sz val="12"/>
      <color indexed="12"/>
      <name val="Arial"/>
      <family val="2"/>
    </font>
    <font>
      <sz val="12"/>
      <name val="Courier New"/>
      <family val="3"/>
    </font>
    <font>
      <b/>
      <sz val="12"/>
      <name val="Arial"/>
      <family val="2"/>
    </font>
    <font>
      <b/>
      <sz val="14"/>
      <name val="Arial"/>
      <family val="2"/>
    </font>
    <font>
      <sz val="12"/>
      <name val="Arial"/>
      <family val="2"/>
    </font>
    <font>
      <b/>
      <sz val="12"/>
      <color rgb="FF0000FF"/>
      <name val="Arial"/>
      <family val="2"/>
    </font>
    <font>
      <b/>
      <vertAlign val="superscript"/>
      <sz val="12"/>
      <color rgb="FF0000FF"/>
      <name val="Arial"/>
      <family val="2"/>
    </font>
    <font>
      <b/>
      <sz val="12"/>
      <color rgb="FFFF0000"/>
      <name val="Arial"/>
      <family val="2"/>
    </font>
    <font>
      <b/>
      <sz val="12"/>
      <color indexed="81"/>
      <name val="Arial"/>
      <family val="2"/>
    </font>
    <font>
      <sz val="8"/>
      <color indexed="81"/>
      <name val="Tahoma"/>
      <family val="2"/>
    </font>
    <font>
      <b/>
      <sz val="8"/>
      <color indexed="81"/>
      <name val="Tahoma"/>
      <family val="2"/>
    </font>
    <font>
      <sz val="12"/>
      <color indexed="81"/>
      <name val="Arial"/>
      <family val="2"/>
    </font>
    <font>
      <sz val="9"/>
      <name val="Arial"/>
      <family val="2"/>
    </font>
    <font>
      <sz val="12"/>
      <color indexed="81"/>
      <name val="Tahoma"/>
      <family val="2"/>
    </font>
    <font>
      <b/>
      <sz val="12"/>
      <color theme="1"/>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22"/>
        <bgColor indexed="42"/>
      </patternFill>
    </fill>
    <fill>
      <patternFill patternType="solid">
        <fgColor rgb="FFCCFFCC"/>
        <bgColor indexed="64"/>
      </patternFill>
    </fill>
    <fill>
      <patternFill patternType="solid">
        <fgColor theme="0" tint="-0.249977111117893"/>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s>
  <cellStyleXfs count="13">
    <xf numFmtId="0" fontId="0" fillId="0" borderId="0"/>
    <xf numFmtId="0" fontId="5" fillId="0" borderId="0" applyNumberFormat="0" applyFill="0" applyBorder="0" applyAlignment="0" applyProtection="0">
      <alignment vertical="top"/>
      <protection locked="0"/>
    </xf>
    <xf numFmtId="44"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174" fontId="14" fillId="0" borderId="0"/>
    <xf numFmtId="174" fontId="9" fillId="0" borderId="0">
      <protection locked="0"/>
    </xf>
    <xf numFmtId="175" fontId="14" fillId="0" borderId="0"/>
    <xf numFmtId="175" fontId="9" fillId="0" borderId="0">
      <protection locked="0"/>
    </xf>
    <xf numFmtId="38" fontId="14" fillId="0" borderId="0"/>
    <xf numFmtId="38" fontId="9" fillId="0" borderId="0">
      <protection locked="0"/>
    </xf>
    <xf numFmtId="0" fontId="1" fillId="0" borderId="0"/>
  </cellStyleXfs>
  <cellXfs count="196">
    <xf numFmtId="0" fontId="0" fillId="0" borderId="0" xfId="0"/>
    <xf numFmtId="0" fontId="2" fillId="0" borderId="0" xfId="0" applyFont="1"/>
    <xf numFmtId="0" fontId="1" fillId="0" borderId="0" xfId="0" applyFont="1"/>
    <xf numFmtId="167" fontId="1" fillId="0" borderId="0" xfId="0" applyNumberFormat="1" applyFont="1"/>
    <xf numFmtId="168" fontId="1" fillId="0" borderId="0" xfId="0" applyNumberFormat="1" applyFont="1"/>
    <xf numFmtId="0" fontId="2"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left"/>
    </xf>
    <xf numFmtId="168" fontId="2" fillId="0" borderId="0" xfId="0" applyNumberFormat="1" applyFont="1" applyAlignment="1" applyProtection="1">
      <alignment horizontal="center"/>
    </xf>
    <xf numFmtId="37" fontId="2" fillId="0" borderId="0" xfId="0" applyNumberFormat="1" applyFont="1" applyProtection="1"/>
    <xf numFmtId="166" fontId="2" fillId="0" borderId="0" xfId="0" applyNumberFormat="1" applyFont="1" applyProtection="1"/>
    <xf numFmtId="168" fontId="2" fillId="0" borderId="0" xfId="0" applyNumberFormat="1" applyFont="1" applyProtection="1"/>
    <xf numFmtId="164" fontId="2" fillId="0" borderId="0" xfId="0" applyNumberFormat="1" applyFont="1" applyProtection="1"/>
    <xf numFmtId="166" fontId="2" fillId="0" borderId="0" xfId="0" applyNumberFormat="1" applyFont="1" applyAlignment="1" applyProtection="1">
      <alignment horizontal="center"/>
    </xf>
    <xf numFmtId="166" fontId="1" fillId="0" borderId="0" xfId="0" applyNumberFormat="1" applyFont="1"/>
    <xf numFmtId="0" fontId="3" fillId="0" borderId="0" xfId="0" applyFont="1"/>
    <xf numFmtId="168" fontId="3" fillId="0" borderId="0" xfId="0" applyNumberFormat="1" applyFont="1" applyProtection="1"/>
    <xf numFmtId="0" fontId="3" fillId="0" borderId="0" xfId="0" applyFont="1" applyProtection="1"/>
    <xf numFmtId="37" fontId="3" fillId="0" borderId="0" xfId="0" applyNumberFormat="1" applyFont="1" applyProtection="1"/>
    <xf numFmtId="166" fontId="3" fillId="0" borderId="0" xfId="0" applyNumberFormat="1" applyFont="1" applyProtection="1"/>
    <xf numFmtId="0" fontId="7" fillId="0" borderId="0" xfId="0" applyFont="1"/>
    <xf numFmtId="0" fontId="8" fillId="2" borderId="1" xfId="0" applyFont="1" applyFill="1" applyBorder="1" applyAlignment="1" applyProtection="1">
      <alignment horizontal="left"/>
    </xf>
    <xf numFmtId="0" fontId="8" fillId="2" borderId="2" xfId="0" applyFont="1" applyFill="1" applyBorder="1"/>
    <xf numFmtId="0" fontId="8" fillId="2" borderId="2" xfId="0" applyFont="1" applyFill="1" applyBorder="1" applyAlignment="1" applyProtection="1">
      <alignment horizontal="left"/>
    </xf>
    <xf numFmtId="0" fontId="8" fillId="2" borderId="3" xfId="0" applyFont="1" applyFill="1" applyBorder="1"/>
    <xf numFmtId="166" fontId="8" fillId="2" borderId="4" xfId="0" applyNumberFormat="1" applyFont="1" applyFill="1" applyBorder="1" applyProtection="1"/>
    <xf numFmtId="0" fontId="8" fillId="2" borderId="0" xfId="0" applyFont="1" applyFill="1" applyBorder="1"/>
    <xf numFmtId="0" fontId="8" fillId="2" borderId="0" xfId="0" applyFont="1" applyFill="1" applyBorder="1" applyAlignment="1" applyProtection="1">
      <alignment horizontal="left"/>
    </xf>
    <xf numFmtId="165" fontId="8" fillId="2" borderId="0" xfId="0" applyNumberFormat="1" applyFont="1" applyFill="1" applyBorder="1" applyProtection="1"/>
    <xf numFmtId="164" fontId="8" fillId="2" borderId="5" xfId="0" applyNumberFormat="1" applyFont="1" applyFill="1" applyBorder="1" applyAlignment="1" applyProtection="1">
      <alignment horizontal="center"/>
    </xf>
    <xf numFmtId="0" fontId="8" fillId="2" borderId="4" xfId="0" applyFont="1" applyFill="1" applyBorder="1" applyAlignment="1" applyProtection="1">
      <alignment horizontal="left"/>
    </xf>
    <xf numFmtId="0" fontId="8" fillId="2" borderId="0" xfId="0" applyFont="1" applyFill="1" applyBorder="1" applyProtection="1"/>
    <xf numFmtId="166" fontId="8" fillId="2" borderId="0" xfId="0" applyNumberFormat="1" applyFont="1" applyFill="1" applyBorder="1" applyAlignment="1" applyProtection="1">
      <alignment horizontal="left"/>
    </xf>
    <xf numFmtId="0" fontId="8" fillId="2" borderId="5" xfId="0" applyFont="1" applyFill="1" applyBorder="1"/>
    <xf numFmtId="0" fontId="9" fillId="3" borderId="6" xfId="0" applyFont="1" applyFill="1" applyBorder="1" applyAlignment="1" applyProtection="1">
      <alignment horizontal="center"/>
      <protection locked="0"/>
    </xf>
    <xf numFmtId="168" fontId="8" fillId="2" borderId="5" xfId="0" applyNumberFormat="1" applyFont="1" applyFill="1" applyBorder="1" applyProtection="1"/>
    <xf numFmtId="166" fontId="8" fillId="2" borderId="0" xfId="0" applyNumberFormat="1" applyFont="1" applyFill="1" applyBorder="1" applyProtection="1"/>
    <xf numFmtId="168" fontId="8" fillId="2" borderId="0" xfId="0" applyNumberFormat="1" applyFont="1" applyFill="1" applyBorder="1" applyProtection="1"/>
    <xf numFmtId="0" fontId="8" fillId="2" borderId="0" xfId="0" applyFont="1" applyFill="1" applyBorder="1" applyAlignment="1" applyProtection="1">
      <alignment horizontal="center"/>
    </xf>
    <xf numFmtId="170" fontId="8" fillId="2" borderId="0" xfId="0" applyNumberFormat="1" applyFont="1" applyFill="1" applyBorder="1" applyProtection="1"/>
    <xf numFmtId="167" fontId="8" fillId="2" borderId="0" xfId="0" applyNumberFormat="1" applyFont="1" applyFill="1" applyBorder="1" applyProtection="1"/>
    <xf numFmtId="0" fontId="8" fillId="2" borderId="4" xfId="0" applyFont="1" applyFill="1" applyBorder="1" applyProtection="1"/>
    <xf numFmtId="10" fontId="8" fillId="2" borderId="0" xfId="0" applyNumberFormat="1" applyFont="1" applyFill="1" applyBorder="1" applyProtection="1"/>
    <xf numFmtId="0" fontId="9" fillId="5" borderId="0" xfId="0" applyFont="1" applyFill="1" applyBorder="1" applyAlignment="1" applyProtection="1">
      <alignment horizontal="center"/>
      <protection locked="0"/>
    </xf>
    <xf numFmtId="167" fontId="8" fillId="2" borderId="5" xfId="0" applyNumberFormat="1" applyFont="1" applyFill="1" applyBorder="1" applyProtection="1"/>
    <xf numFmtId="171" fontId="8" fillId="2" borderId="0" xfId="0" applyNumberFormat="1" applyFont="1" applyFill="1" applyBorder="1" applyProtection="1"/>
    <xf numFmtId="0" fontId="8" fillId="2" borderId="5" xfId="0" applyFont="1" applyFill="1" applyBorder="1" applyProtection="1"/>
    <xf numFmtId="2" fontId="9" fillId="5" borderId="0" xfId="0" applyNumberFormat="1" applyFont="1" applyFill="1" applyBorder="1" applyAlignment="1" applyProtection="1">
      <alignment horizontal="center"/>
      <protection locked="0"/>
    </xf>
    <xf numFmtId="0" fontId="8" fillId="2" borderId="16" xfId="0" applyFont="1" applyFill="1" applyBorder="1" applyAlignment="1" applyProtection="1">
      <alignment horizontal="left"/>
    </xf>
    <xf numFmtId="0" fontId="8" fillId="2" borderId="14" xfId="0" applyFont="1" applyFill="1" applyBorder="1"/>
    <xf numFmtId="0" fontId="8" fillId="2" borderId="14" xfId="0" applyFont="1" applyFill="1" applyBorder="1" applyAlignment="1" applyProtection="1">
      <alignment horizontal="center"/>
    </xf>
    <xf numFmtId="167" fontId="8" fillId="2" borderId="14" xfId="0" applyNumberFormat="1" applyFont="1" applyFill="1" applyBorder="1" applyAlignment="1" applyProtection="1">
      <alignment horizontal="center"/>
    </xf>
    <xf numFmtId="0" fontId="8" fillId="2" borderId="15" xfId="0" applyFont="1" applyFill="1" applyBorder="1" applyAlignment="1" applyProtection="1">
      <alignment horizontal="center"/>
    </xf>
    <xf numFmtId="167" fontId="9" fillId="3" borderId="6" xfId="0" applyNumberFormat="1" applyFont="1" applyFill="1" applyBorder="1" applyAlignment="1" applyProtection="1">
      <alignment horizontal="center"/>
      <protection locked="0"/>
    </xf>
    <xf numFmtId="2" fontId="8" fillId="2" borderId="0" xfId="0" applyNumberFormat="1" applyFont="1" applyFill="1" applyBorder="1"/>
    <xf numFmtId="167" fontId="8" fillId="2" borderId="0" xfId="0" applyNumberFormat="1" applyFont="1" applyFill="1" applyBorder="1" applyAlignment="1" applyProtection="1">
      <alignment horizontal="center"/>
    </xf>
    <xf numFmtId="168" fontId="8" fillId="2" borderId="5" xfId="0" applyNumberFormat="1" applyFont="1" applyFill="1" applyBorder="1" applyAlignment="1" applyProtection="1">
      <alignment horizontal="center"/>
    </xf>
    <xf numFmtId="2" fontId="8" fillId="2" borderId="0" xfId="0" applyNumberFormat="1" applyFont="1" applyFill="1" applyBorder="1" applyProtection="1"/>
    <xf numFmtId="1" fontId="8" fillId="2" borderId="0" xfId="0" applyNumberFormat="1" applyFont="1" applyFill="1" applyBorder="1" applyAlignment="1" applyProtection="1">
      <alignment horizontal="center"/>
    </xf>
    <xf numFmtId="0" fontId="8" fillId="2" borderId="4" xfId="0" applyFont="1" applyFill="1" applyBorder="1" applyAlignment="1" applyProtection="1">
      <alignment horizontal="fill"/>
    </xf>
    <xf numFmtId="0" fontId="8" fillId="2" borderId="0" xfId="0" applyFont="1" applyFill="1" applyBorder="1" applyAlignment="1" applyProtection="1">
      <alignment horizontal="fill"/>
    </xf>
    <xf numFmtId="2" fontId="8" fillId="2" borderId="0" xfId="0" applyNumberFormat="1" applyFont="1" applyFill="1" applyBorder="1" applyAlignment="1" applyProtection="1">
      <alignment horizontal="fill"/>
    </xf>
    <xf numFmtId="0" fontId="8" fillId="2" borderId="5" xfId="0" applyFont="1" applyFill="1" applyBorder="1" applyAlignment="1" applyProtection="1">
      <alignment horizontal="fill"/>
    </xf>
    <xf numFmtId="39" fontId="8" fillId="2" borderId="0" xfId="0" applyNumberFormat="1" applyFont="1" applyFill="1" applyBorder="1" applyProtection="1"/>
    <xf numFmtId="0" fontId="8" fillId="2" borderId="10" xfId="0" applyFont="1" applyFill="1" applyBorder="1" applyProtection="1"/>
    <xf numFmtId="0" fontId="8" fillId="2" borderId="9" xfId="0" applyFont="1" applyFill="1" applyBorder="1" applyProtection="1"/>
    <xf numFmtId="167" fontId="8" fillId="2" borderId="9" xfId="0" applyNumberFormat="1" applyFont="1" applyFill="1" applyBorder="1" applyProtection="1"/>
    <xf numFmtId="168" fontId="8" fillId="2" borderId="11" xfId="0" applyNumberFormat="1" applyFont="1" applyFill="1" applyBorder="1" applyProtection="1"/>
    <xf numFmtId="0" fontId="8" fillId="4" borderId="8" xfId="0" applyFont="1" applyFill="1" applyBorder="1" applyAlignment="1" applyProtection="1">
      <alignment horizontal="fill"/>
    </xf>
    <xf numFmtId="0" fontId="9" fillId="3" borderId="7" xfId="0" applyFont="1" applyFill="1" applyBorder="1" applyAlignment="1" applyProtection="1">
      <alignment horizontal="center"/>
      <protection locked="0"/>
    </xf>
    <xf numFmtId="164" fontId="8" fillId="2" borderId="0" xfId="0" applyNumberFormat="1" applyFont="1" applyFill="1" applyBorder="1" applyProtection="1"/>
    <xf numFmtId="0" fontId="8" fillId="2" borderId="5" xfId="0" applyFont="1" applyFill="1" applyBorder="1" applyAlignment="1" applyProtection="1">
      <alignment horizontal="center"/>
    </xf>
    <xf numFmtId="0" fontId="9" fillId="3" borderId="12" xfId="0" applyFont="1" applyFill="1" applyBorder="1" applyAlignment="1" applyProtection="1">
      <alignment horizontal="left"/>
      <protection locked="0"/>
    </xf>
    <xf numFmtId="172" fontId="9" fillId="3" borderId="6" xfId="0" applyNumberFormat="1" applyFont="1" applyFill="1" applyBorder="1" applyAlignment="1" applyProtection="1">
      <alignment horizontal="center"/>
      <protection locked="0"/>
    </xf>
    <xf numFmtId="1" fontId="9" fillId="3" borderId="6" xfId="0" applyNumberFormat="1" applyFont="1" applyFill="1" applyBorder="1" applyAlignment="1" applyProtection="1">
      <alignment horizontal="center"/>
      <protection locked="0"/>
    </xf>
    <xf numFmtId="0" fontId="8" fillId="2" borderId="4" xfId="0" applyFont="1" applyFill="1" applyBorder="1"/>
    <xf numFmtId="168" fontId="8" fillId="2" borderId="0" xfId="0" applyNumberFormat="1" applyFont="1" applyFill="1" applyBorder="1" applyAlignment="1" applyProtection="1">
      <alignment horizontal="center"/>
    </xf>
    <xf numFmtId="0" fontId="8" fillId="2" borderId="0" xfId="0" applyFont="1" applyFill="1" applyBorder="1" applyAlignment="1">
      <alignment horizontal="center"/>
    </xf>
    <xf numFmtId="0" fontId="9" fillId="2" borderId="4" xfId="0" applyFont="1" applyFill="1" applyBorder="1" applyAlignment="1" applyProtection="1">
      <alignment horizontal="left"/>
    </xf>
    <xf numFmtId="0" fontId="9" fillId="5" borderId="0" xfId="0" applyFont="1" applyFill="1" applyBorder="1" applyAlignment="1" applyProtection="1">
      <alignment horizontal="left"/>
      <protection locked="0"/>
    </xf>
    <xf numFmtId="167" fontId="9" fillId="5" borderId="0" xfId="0" applyNumberFormat="1" applyFont="1" applyFill="1" applyBorder="1" applyAlignment="1" applyProtection="1">
      <alignment horizontal="center"/>
      <protection locked="0"/>
    </xf>
    <xf numFmtId="172" fontId="9" fillId="5" borderId="0" xfId="0" applyNumberFormat="1" applyFont="1" applyFill="1" applyBorder="1" applyAlignment="1" applyProtection="1">
      <alignment horizontal="center"/>
      <protection locked="0"/>
    </xf>
    <xf numFmtId="1" fontId="9" fillId="5" borderId="0" xfId="0" applyNumberFormat="1" applyFont="1" applyFill="1" applyBorder="1" applyAlignment="1" applyProtection="1">
      <alignment horizontal="center"/>
      <protection locked="0"/>
    </xf>
    <xf numFmtId="2" fontId="8" fillId="2" borderId="0" xfId="0" applyNumberFormat="1" applyFont="1" applyFill="1" applyBorder="1" applyAlignment="1" applyProtection="1">
      <alignment horizontal="center"/>
    </xf>
    <xf numFmtId="0" fontId="9" fillId="3" borderId="13" xfId="0" applyFont="1" applyFill="1" applyBorder="1" applyAlignment="1" applyProtection="1">
      <alignment horizontal="left"/>
      <protection locked="0"/>
    </xf>
    <xf numFmtId="0" fontId="9" fillId="6" borderId="8" xfId="0" applyFont="1" applyFill="1" applyBorder="1" applyProtection="1"/>
    <xf numFmtId="0" fontId="9" fillId="2" borderId="0" xfId="0" applyFont="1" applyFill="1" applyBorder="1" applyProtection="1"/>
    <xf numFmtId="168" fontId="9" fillId="3" borderId="6" xfId="0" applyNumberFormat="1" applyFont="1" applyFill="1" applyBorder="1" applyAlignment="1" applyProtection="1">
      <alignment horizontal="center"/>
      <protection locked="0"/>
    </xf>
    <xf numFmtId="0" fontId="7" fillId="5" borderId="0" xfId="0" applyFont="1" applyFill="1"/>
    <xf numFmtId="168" fontId="9" fillId="5" borderId="0" xfId="0" applyNumberFormat="1" applyFont="1" applyFill="1" applyBorder="1" applyAlignment="1" applyProtection="1">
      <alignment horizontal="center"/>
      <protection locked="0"/>
    </xf>
    <xf numFmtId="37" fontId="8" fillId="2" borderId="0" xfId="0" applyNumberFormat="1" applyFont="1" applyFill="1" applyBorder="1" applyProtection="1"/>
    <xf numFmtId="168" fontId="8" fillId="2" borderId="15" xfId="0" applyNumberFormat="1" applyFont="1" applyFill="1" applyBorder="1" applyAlignment="1" applyProtection="1">
      <alignment horizontal="center"/>
    </xf>
    <xf numFmtId="0" fontId="8" fillId="0" borderId="13" xfId="0" applyFont="1" applyFill="1" applyBorder="1" applyAlignment="1" applyProtection="1">
      <alignment horizontal="left"/>
    </xf>
    <xf numFmtId="0" fontId="8" fillId="0" borderId="8" xfId="0" applyFont="1" applyFill="1" applyBorder="1"/>
    <xf numFmtId="168" fontId="8" fillId="0" borderId="8" xfId="0" applyNumberFormat="1" applyFont="1" applyFill="1" applyBorder="1" applyProtection="1"/>
    <xf numFmtId="167" fontId="8" fillId="0" borderId="8" xfId="0" applyNumberFormat="1" applyFont="1" applyFill="1" applyBorder="1" applyProtection="1"/>
    <xf numFmtId="167" fontId="8" fillId="0" borderId="8" xfId="0" applyNumberFormat="1" applyFont="1" applyFill="1" applyBorder="1" applyAlignment="1" applyProtection="1">
      <alignment horizontal="center"/>
    </xf>
    <xf numFmtId="168" fontId="8" fillId="0" borderId="12" xfId="0" applyNumberFormat="1" applyFont="1" applyFill="1" applyBorder="1" applyAlignment="1" applyProtection="1">
      <alignment horizontal="center"/>
    </xf>
    <xf numFmtId="9" fontId="8" fillId="2" borderId="0" xfId="0" applyNumberFormat="1" applyFont="1" applyFill="1" applyBorder="1" applyProtection="1"/>
    <xf numFmtId="166" fontId="8" fillId="2" borderId="5" xfId="0" applyNumberFormat="1" applyFont="1" applyFill="1" applyBorder="1" applyProtection="1"/>
    <xf numFmtId="9" fontId="8" fillId="2" borderId="0" xfId="0" applyNumberFormat="1" applyFont="1" applyFill="1" applyBorder="1" applyAlignment="1" applyProtection="1">
      <alignment horizontal="center"/>
    </xf>
    <xf numFmtId="166" fontId="8" fillId="2" borderId="5" xfId="0" applyNumberFormat="1" applyFont="1" applyFill="1" applyBorder="1" applyAlignment="1" applyProtection="1">
      <alignment horizontal="left"/>
    </xf>
    <xf numFmtId="0" fontId="8" fillId="2" borderId="5" xfId="0" applyFont="1" applyFill="1" applyBorder="1" applyAlignment="1" applyProtection="1">
      <alignment horizontal="left"/>
    </xf>
    <xf numFmtId="0" fontId="7"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8" fillId="4" borderId="10" xfId="0" applyFont="1" applyFill="1" applyBorder="1"/>
    <xf numFmtId="0" fontId="8" fillId="4" borderId="9" xfId="0" applyFont="1" applyFill="1" applyBorder="1"/>
    <xf numFmtId="9" fontId="8" fillId="4" borderId="9" xfId="0" applyNumberFormat="1" applyFont="1" applyFill="1" applyBorder="1" applyProtection="1"/>
    <xf numFmtId="168" fontId="8" fillId="4" borderId="9" xfId="0" applyNumberFormat="1" applyFont="1" applyFill="1" applyBorder="1" applyProtection="1"/>
    <xf numFmtId="168" fontId="8" fillId="4" borderId="11" xfId="0" applyNumberFormat="1" applyFont="1" applyFill="1" applyBorder="1" applyProtection="1"/>
    <xf numFmtId="0" fontId="8" fillId="4" borderId="0" xfId="0" applyFont="1" applyFill="1" applyBorder="1" applyProtection="1"/>
    <xf numFmtId="165" fontId="8" fillId="4" borderId="0" xfId="0" applyNumberFormat="1" applyFont="1" applyFill="1" applyBorder="1" applyProtection="1"/>
    <xf numFmtId="166" fontId="8" fillId="4" borderId="0" xfId="0" applyNumberFormat="1" applyFont="1" applyFill="1" applyBorder="1" applyProtection="1"/>
    <xf numFmtId="167" fontId="8" fillId="4" borderId="0" xfId="0" applyNumberFormat="1" applyFont="1" applyFill="1" applyBorder="1" applyProtection="1"/>
    <xf numFmtId="168" fontId="8" fillId="4" borderId="0" xfId="0" applyNumberFormat="1" applyFont="1" applyFill="1" applyBorder="1" applyProtection="1"/>
    <xf numFmtId="37" fontId="8" fillId="4" borderId="0" xfId="0" applyNumberFormat="1" applyFont="1" applyFill="1" applyBorder="1" applyProtection="1"/>
    <xf numFmtId="0" fontId="11" fillId="0" borderId="0" xfId="0" applyFont="1"/>
    <xf numFmtId="168" fontId="11" fillId="0" borderId="0" xfId="0" applyNumberFormat="1" applyFont="1" applyProtection="1"/>
    <xf numFmtId="0" fontId="11" fillId="0" borderId="0" xfId="0" applyFont="1" applyProtection="1"/>
    <xf numFmtId="167" fontId="11" fillId="0" borderId="0" xfId="0" applyNumberFormat="1" applyFont="1" applyProtection="1"/>
    <xf numFmtId="165" fontId="11" fillId="0" borderId="0" xfId="0" applyNumberFormat="1" applyFont="1" applyProtection="1"/>
    <xf numFmtId="171" fontId="11" fillId="0" borderId="0" xfId="0" applyNumberFormat="1" applyFont="1" applyProtection="1"/>
    <xf numFmtId="169" fontId="11" fillId="0" borderId="0" xfId="0" applyNumberFormat="1" applyFont="1" applyProtection="1"/>
    <xf numFmtId="39" fontId="11" fillId="0" borderId="0" xfId="0" applyNumberFormat="1" applyFont="1" applyProtection="1"/>
    <xf numFmtId="166" fontId="11" fillId="0" borderId="0" xfId="0" applyNumberFormat="1" applyFont="1" applyProtection="1"/>
    <xf numFmtId="10" fontId="11" fillId="0" borderId="0" xfId="0" applyNumberFormat="1" applyFont="1" applyProtection="1"/>
    <xf numFmtId="9" fontId="11" fillId="0" borderId="0" xfId="0" applyNumberFormat="1" applyFont="1" applyProtection="1"/>
    <xf numFmtId="37" fontId="11" fillId="0" borderId="0" xfId="0" applyNumberFormat="1" applyFont="1" applyProtection="1"/>
    <xf numFmtId="0" fontId="12" fillId="0" borderId="0" xfId="4" applyFont="1"/>
    <xf numFmtId="0" fontId="13" fillId="7" borderId="1" xfId="5" applyFont="1" applyFill="1" applyBorder="1"/>
    <xf numFmtId="0" fontId="13" fillId="7" borderId="2" xfId="5" applyFont="1" applyFill="1" applyBorder="1"/>
    <xf numFmtId="0" fontId="14" fillId="7" borderId="5" xfId="5" applyFont="1" applyFill="1" applyBorder="1"/>
    <xf numFmtId="0" fontId="14" fillId="0" borderId="0" xfId="5" applyFont="1"/>
    <xf numFmtId="0" fontId="14" fillId="7" borderId="4" xfId="5" applyFont="1" applyFill="1" applyBorder="1"/>
    <xf numFmtId="0" fontId="14" fillId="7" borderId="0" xfId="5" applyFont="1" applyFill="1" applyBorder="1"/>
    <xf numFmtId="0" fontId="12" fillId="7" borderId="4" xfId="5" applyFont="1" applyFill="1" applyBorder="1"/>
    <xf numFmtId="0" fontId="12" fillId="7" borderId="0" xfId="5" applyFont="1" applyFill="1" applyBorder="1"/>
    <xf numFmtId="0" fontId="14" fillId="7" borderId="0" xfId="5" applyFont="1" applyFill="1" applyBorder="1" applyAlignment="1">
      <alignment horizontal="left" indent="2"/>
    </xf>
    <xf numFmtId="8" fontId="14" fillId="0" borderId="0" xfId="5" applyNumberFormat="1" applyFont="1"/>
    <xf numFmtId="0" fontId="15" fillId="7" borderId="0" xfId="5" applyFont="1" applyFill="1" applyBorder="1"/>
    <xf numFmtId="0" fontId="14" fillId="7" borderId="4" xfId="5" applyFont="1" applyFill="1" applyBorder="1" applyAlignment="1">
      <alignment horizontal="left" indent="2"/>
    </xf>
    <xf numFmtId="173" fontId="14" fillId="0" borderId="0" xfId="5" applyNumberFormat="1" applyFont="1"/>
    <xf numFmtId="0" fontId="12" fillId="7" borderId="5" xfId="5" applyFont="1" applyFill="1" applyBorder="1" applyAlignment="1">
      <alignment horizontal="center"/>
    </xf>
    <xf numFmtId="0" fontId="12" fillId="0" borderId="0" xfId="5" applyFont="1"/>
    <xf numFmtId="8" fontId="12" fillId="0" borderId="0" xfId="5" applyNumberFormat="1" applyFont="1"/>
    <xf numFmtId="0" fontId="14" fillId="7" borderId="17" xfId="5" applyFont="1" applyFill="1" applyBorder="1"/>
    <xf numFmtId="0" fontId="12" fillId="7" borderId="18" xfId="5" applyFont="1" applyFill="1" applyBorder="1"/>
    <xf numFmtId="0" fontId="12" fillId="7" borderId="19" xfId="5" applyFont="1" applyFill="1" applyBorder="1"/>
    <xf numFmtId="0" fontId="14" fillId="7" borderId="19" xfId="5" applyFont="1" applyFill="1" applyBorder="1"/>
    <xf numFmtId="0" fontId="12" fillId="7" borderId="0" xfId="5" applyFont="1" applyFill="1" applyBorder="1" applyAlignment="1">
      <alignment horizontal="center" wrapText="1"/>
    </xf>
    <xf numFmtId="0" fontId="12" fillId="7" borderId="0" xfId="5" applyFont="1" applyFill="1" applyBorder="1" applyAlignment="1">
      <alignment horizontal="center"/>
    </xf>
    <xf numFmtId="44" fontId="12" fillId="7" borderId="5" xfId="5" applyNumberFormat="1" applyFont="1" applyFill="1" applyBorder="1"/>
    <xf numFmtId="44" fontId="14" fillId="0" borderId="0" xfId="5" applyNumberFormat="1" applyFont="1"/>
    <xf numFmtId="0" fontId="14" fillId="7" borderId="0" xfId="5" applyFont="1" applyFill="1" applyBorder="1" applyAlignment="1">
      <alignment horizontal="center"/>
    </xf>
    <xf numFmtId="0" fontId="12" fillId="7" borderId="5" xfId="5" applyFont="1" applyFill="1" applyBorder="1"/>
    <xf numFmtId="0" fontId="14" fillId="7" borderId="10" xfId="5" applyFont="1" applyFill="1" applyBorder="1"/>
    <xf numFmtId="44" fontId="12" fillId="7" borderId="11" xfId="5" applyNumberFormat="1" applyFont="1" applyFill="1" applyBorder="1"/>
    <xf numFmtId="176" fontId="9" fillId="3" borderId="6" xfId="2" applyNumberFormat="1" applyFont="1" applyFill="1" applyBorder="1" applyAlignment="1" applyProtection="1">
      <alignment horizontal="center"/>
      <protection locked="0"/>
    </xf>
    <xf numFmtId="0" fontId="12" fillId="5" borderId="0" xfId="0" applyFont="1" applyFill="1" applyBorder="1" applyAlignment="1" applyProtection="1">
      <alignment horizontal="right"/>
    </xf>
    <xf numFmtId="0" fontId="8" fillId="2" borderId="0" xfId="12" applyFont="1" applyFill="1" applyBorder="1" applyProtection="1"/>
    <xf numFmtId="0" fontId="12" fillId="5" borderId="0" xfId="0" applyFont="1" applyFill="1" applyBorder="1" applyAlignment="1" applyProtection="1">
      <alignment horizontal="left"/>
    </xf>
    <xf numFmtId="167" fontId="12" fillId="5" borderId="5" xfId="0" applyNumberFormat="1" applyFont="1" applyFill="1" applyBorder="1" applyAlignment="1" applyProtection="1">
      <alignment horizontal="center"/>
    </xf>
    <xf numFmtId="2" fontId="22" fillId="0" borderId="0" xfId="0" applyNumberFormat="1" applyFont="1" applyProtection="1"/>
    <xf numFmtId="176" fontId="12" fillId="7" borderId="0" xfId="2" applyNumberFormat="1" applyFont="1" applyFill="1" applyBorder="1"/>
    <xf numFmtId="176" fontId="12" fillId="7" borderId="0" xfId="5" applyNumberFormat="1" applyFont="1" applyFill="1" applyBorder="1"/>
    <xf numFmtId="176" fontId="12" fillId="7" borderId="9" xfId="5" applyNumberFormat="1" applyFont="1" applyFill="1" applyBorder="1"/>
    <xf numFmtId="0" fontId="17" fillId="3" borderId="12" xfId="0" applyFont="1" applyFill="1" applyBorder="1" applyAlignment="1" applyProtection="1">
      <alignment horizontal="left"/>
      <protection locked="0"/>
    </xf>
    <xf numFmtId="2" fontId="9" fillId="3" borderId="6" xfId="0" applyNumberFormat="1" applyFont="1" applyFill="1" applyBorder="1" applyAlignment="1" applyProtection="1">
      <alignment horizontal="center"/>
      <protection locked="0"/>
    </xf>
    <xf numFmtId="167" fontId="24" fillId="2" borderId="0" xfId="0" applyNumberFormat="1" applyFont="1" applyFill="1" applyBorder="1" applyAlignment="1" applyProtection="1">
      <alignment horizontal="center"/>
    </xf>
    <xf numFmtId="168" fontId="24" fillId="2" borderId="5" xfId="0" applyNumberFormat="1" applyFont="1" applyFill="1" applyBorder="1" applyAlignment="1" applyProtection="1">
      <alignment horizontal="center"/>
    </xf>
    <xf numFmtId="0" fontId="6" fillId="0" borderId="0" xfId="0" applyFont="1"/>
    <xf numFmtId="0" fontId="8" fillId="4" borderId="0" xfId="0" applyFont="1" applyFill="1" applyBorder="1" applyAlignment="1" applyProtection="1">
      <alignment horizontal="center"/>
    </xf>
    <xf numFmtId="177" fontId="8" fillId="2" borderId="0" xfId="0" applyNumberFormat="1" applyFont="1" applyFill="1" applyBorder="1" applyAlignment="1" applyProtection="1">
      <alignment horizontal="center"/>
    </xf>
    <xf numFmtId="177" fontId="8" fillId="2" borderId="0" xfId="0" applyNumberFormat="1" applyFont="1" applyFill="1" applyBorder="1" applyProtection="1"/>
    <xf numFmtId="177" fontId="8" fillId="2" borderId="0" xfId="0" applyNumberFormat="1" applyFont="1" applyFill="1" applyBorder="1"/>
    <xf numFmtId="177" fontId="8" fillId="2" borderId="0" xfId="0" applyNumberFormat="1" applyFont="1" applyFill="1" applyBorder="1" applyAlignment="1">
      <alignment horizontal="center"/>
    </xf>
    <xf numFmtId="177" fontId="24" fillId="2" borderId="0" xfId="0" applyNumberFormat="1" applyFont="1" applyFill="1" applyBorder="1" applyAlignment="1" applyProtection="1">
      <alignment horizontal="center"/>
    </xf>
    <xf numFmtId="0" fontId="8" fillId="2" borderId="9" xfId="0" applyFont="1" applyFill="1" applyBorder="1"/>
    <xf numFmtId="0" fontId="8" fillId="2" borderId="11" xfId="0" applyFont="1" applyFill="1" applyBorder="1"/>
    <xf numFmtId="0" fontId="9" fillId="6" borderId="12" xfId="0" applyFont="1" applyFill="1" applyBorder="1" applyProtection="1">
      <protection locked="0"/>
    </xf>
    <xf numFmtId="0" fontId="9" fillId="6" borderId="13" xfId="0" applyFont="1" applyFill="1" applyBorder="1" applyAlignment="1" applyProtection="1">
      <alignment horizontal="left"/>
      <protection locked="0"/>
    </xf>
    <xf numFmtId="170" fontId="15" fillId="8" borderId="6" xfId="5" applyNumberFormat="1" applyFont="1" applyFill="1" applyBorder="1" applyAlignment="1" applyProtection="1">
      <alignment horizontal="center"/>
      <protection locked="0"/>
    </xf>
    <xf numFmtId="0" fontId="15" fillId="8" borderId="6" xfId="5" applyFont="1" applyFill="1" applyBorder="1" applyAlignment="1" applyProtection="1">
      <alignment horizontal="center"/>
      <protection locked="0"/>
    </xf>
    <xf numFmtId="10" fontId="15" fillId="8" borderId="6" xfId="3" applyNumberFormat="1" applyFont="1" applyFill="1" applyBorder="1" applyAlignment="1" applyProtection="1">
      <alignment horizontal="center"/>
      <protection locked="0"/>
    </xf>
    <xf numFmtId="10" fontId="15" fillId="8" borderId="6" xfId="5" applyNumberFormat="1" applyFont="1" applyFill="1" applyBorder="1" applyAlignment="1" applyProtection="1">
      <alignment horizontal="center"/>
      <protection locked="0"/>
    </xf>
    <xf numFmtId="0" fontId="15" fillId="7" borderId="4" xfId="5" applyFont="1" applyFill="1" applyBorder="1" applyAlignment="1" applyProtection="1">
      <alignment horizontal="left" indent="2"/>
      <protection locked="0"/>
    </xf>
  </cellXfs>
  <cellStyles count="13">
    <cellStyle name="Curr ($1,234) L Black" xfId="6" xr:uid="{00000000-0005-0000-0000-000000000000}"/>
    <cellStyle name="Curr ($1,234) U Blue" xfId="7" xr:uid="{00000000-0005-0000-0000-000001000000}"/>
    <cellStyle name="Curr ($1,234.00) L Black" xfId="8" xr:uid="{00000000-0005-0000-0000-000002000000}"/>
    <cellStyle name="Curr ($1,234.00) U Blue" xfId="9" xr:uid="{00000000-0005-0000-0000-000003000000}"/>
    <cellStyle name="Curr (1,234) L Black" xfId="10" xr:uid="{00000000-0005-0000-0000-000004000000}"/>
    <cellStyle name="Curr (1,234) U Blue" xfId="11" xr:uid="{00000000-0005-0000-0000-000005000000}"/>
    <cellStyle name="Currency" xfId="2" builtinId="4"/>
    <cellStyle name="Hyperlink" xfId="1" builtinId="8"/>
    <cellStyle name="Normal" xfId="0" builtinId="0"/>
    <cellStyle name="Normal 2" xfId="5" xr:uid="{00000000-0005-0000-0000-000009000000}"/>
    <cellStyle name="Normal_Corn2" xfId="12" xr:uid="{00000000-0005-0000-0000-00000A000000}"/>
    <cellStyle name="Normal_Raspc2" xfId="4" xr:uid="{00000000-0005-0000-0000-00000B000000}"/>
    <cellStyle name="Percent" xfId="3" builtinId="5"/>
  </cellStyles>
  <dxfs count="6">
    <dxf>
      <fill>
        <patternFill>
          <bgColor rgb="FF00B050"/>
        </patternFill>
      </fill>
    </dxf>
    <dxf>
      <fill>
        <patternFill>
          <bgColor rgb="FFFFFF00"/>
        </patternFill>
      </fill>
    </dxf>
    <dxf>
      <fill>
        <patternFill>
          <bgColor rgb="FFFF0000"/>
        </patternFill>
      </fill>
    </dxf>
    <dxf>
      <fill>
        <patternFill>
          <bgColor indexed="13"/>
        </patternFill>
      </fill>
    </dxf>
    <dxf>
      <fill>
        <patternFill>
          <bgColor indexed="57"/>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348537</xdr:colOff>
      <xdr:row>3</xdr:row>
      <xdr:rowOff>9014</xdr:rowOff>
    </xdr:to>
    <xdr:pic>
      <xdr:nvPicPr>
        <xdr:cNvPr id="5" name="Picture 4" descr="This is the Ontario Trillium logo">
          <a:extLst>
            <a:ext uri="{FF2B5EF4-FFF2-40B4-BE49-F238E27FC236}">
              <a16:creationId xmlns:a16="http://schemas.microsoft.com/office/drawing/2014/main" id="{33C946D6-1546-4899-ADC4-9019CE4CD3FA}"/>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1706"/>
          <a:ext cx="1715655" cy="4124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M340"/>
  <sheetViews>
    <sheetView showGridLines="0" tabSelected="1" zoomScale="85" zoomScaleNormal="85" zoomScaleSheetLayoutView="100" workbookViewId="0">
      <selection activeCell="A5" sqref="A5"/>
    </sheetView>
  </sheetViews>
  <sheetFormatPr defaultColWidth="11.140625" defaultRowHeight="15" x14ac:dyDescent="0.2"/>
  <cols>
    <col min="1" max="1" width="20.42578125" style="20" customWidth="1"/>
    <col min="2" max="9" width="15.7109375" style="20" customWidth="1"/>
    <col min="10" max="10" width="11" style="2" hidden="1" customWidth="1"/>
    <col min="11" max="27" width="9.140625" style="2" hidden="1" customWidth="1"/>
    <col min="28" max="28" width="10.7109375" style="2" hidden="1" customWidth="1"/>
    <col min="29" max="39" width="11.140625" style="2" hidden="1" customWidth="1"/>
    <col min="40" max="41" width="11.140625" style="2" customWidth="1"/>
    <col min="42" max="42" width="13.42578125" style="2" customWidth="1"/>
    <col min="43" max="50" width="8.85546875" style="2" customWidth="1"/>
    <col min="51" max="51" width="6.5703125" style="2" customWidth="1"/>
    <col min="52" max="241" width="11.140625" style="2" customWidth="1"/>
    <col min="242" max="242" width="8.85546875" style="2" customWidth="1"/>
    <col min="243" max="243" width="3.140625" style="2" customWidth="1"/>
    <col min="244" max="250" width="11.140625" style="2" customWidth="1"/>
    <col min="251" max="251" width="8.85546875" style="2" customWidth="1"/>
    <col min="252" max="252" width="3.140625" style="2" customWidth="1"/>
    <col min="253" max="16384" width="11.140625" style="2"/>
  </cols>
  <sheetData>
    <row r="1" spans="1:28" ht="15.75" x14ac:dyDescent="0.25">
      <c r="A1" s="138" t="s">
        <v>162</v>
      </c>
    </row>
    <row r="2" spans="1:28" ht="15.75" x14ac:dyDescent="0.25">
      <c r="A2" s="21"/>
      <c r="B2" s="22"/>
      <c r="C2" s="23" t="s">
        <v>160</v>
      </c>
      <c r="D2" s="22"/>
      <c r="E2" s="22"/>
      <c r="F2" s="22"/>
      <c r="G2" s="23"/>
      <c r="H2" s="23" t="s">
        <v>255</v>
      </c>
      <c r="I2" s="24"/>
      <c r="J2" s="1"/>
      <c r="K2" s="1"/>
      <c r="L2" s="1"/>
      <c r="M2" s="1"/>
      <c r="AB2" s="3">
        <f ca="1">D158</f>
        <v>9.4019475000000234</v>
      </c>
    </row>
    <row r="3" spans="1:28" ht="15.75" x14ac:dyDescent="0.25">
      <c r="A3" s="25">
        <v>302</v>
      </c>
      <c r="B3" s="26"/>
      <c r="C3" s="26"/>
      <c r="D3" s="26"/>
      <c r="E3" s="26"/>
      <c r="F3" s="27" t="s">
        <v>161</v>
      </c>
      <c r="G3" s="28"/>
      <c r="H3" s="28"/>
      <c r="I3" s="29">
        <f ca="1">AB2</f>
        <v>9.4019475000000234</v>
      </c>
      <c r="J3" s="1"/>
      <c r="K3" s="1"/>
      <c r="L3" s="1"/>
      <c r="M3" s="1"/>
      <c r="AB3" s="2">
        <f>ROUND(E5*(E6+E7)/100,0)</f>
        <v>140</v>
      </c>
    </row>
    <row r="4" spans="1:28" ht="15.75" x14ac:dyDescent="0.25">
      <c r="A4" s="30"/>
      <c r="B4" s="26"/>
      <c r="C4" s="31"/>
      <c r="D4" s="26"/>
      <c r="E4" s="26"/>
      <c r="F4" s="26"/>
      <c r="G4" s="32" t="s">
        <v>0</v>
      </c>
      <c r="H4" s="32"/>
      <c r="I4" s="33"/>
      <c r="J4" s="1"/>
      <c r="K4" s="1"/>
      <c r="L4" s="1"/>
      <c r="M4" s="1"/>
      <c r="AB4" s="2">
        <f ca="1">IF(E5&lt;=0,0,+I139)</f>
        <v>245215.42499999999</v>
      </c>
    </row>
    <row r="5" spans="1:28" ht="15.75" x14ac:dyDescent="0.25">
      <c r="A5" s="30" t="s">
        <v>1</v>
      </c>
      <c r="B5" s="26"/>
      <c r="C5" s="31"/>
      <c r="D5" s="27" t="s">
        <v>2</v>
      </c>
      <c r="E5" s="34">
        <v>400</v>
      </c>
      <c r="F5" s="26"/>
      <c r="G5" s="26"/>
      <c r="H5" s="26"/>
      <c r="I5" s="33"/>
      <c r="J5" s="1"/>
      <c r="K5" s="1"/>
      <c r="L5" s="1"/>
      <c r="M5" s="1"/>
      <c r="AB5" s="2">
        <f>IF(E5&lt;=0,0,+I148)</f>
        <v>69458.796000000002</v>
      </c>
    </row>
    <row r="6" spans="1:28" ht="15.75" x14ac:dyDescent="0.25">
      <c r="A6" s="30" t="s">
        <v>3</v>
      </c>
      <c r="B6" s="26"/>
      <c r="C6" s="26"/>
      <c r="D6" s="27" t="s">
        <v>4</v>
      </c>
      <c r="E6" s="34">
        <v>30</v>
      </c>
      <c r="F6" s="26"/>
      <c r="G6" s="26"/>
      <c r="H6" s="26"/>
      <c r="I6" s="33"/>
      <c r="J6" s="1"/>
      <c r="K6" s="1"/>
      <c r="L6" s="1"/>
      <c r="M6" s="1"/>
      <c r="AB6" s="2">
        <f>IF(E5&lt;=0,0,+F152)</f>
        <v>318435</v>
      </c>
    </row>
    <row r="7" spans="1:28" ht="15.75" x14ac:dyDescent="0.25">
      <c r="A7" s="30" t="s">
        <v>5</v>
      </c>
      <c r="B7" s="26"/>
      <c r="C7" s="26"/>
      <c r="D7" s="27" t="s">
        <v>4</v>
      </c>
      <c r="E7" s="34">
        <v>5</v>
      </c>
      <c r="F7" s="26"/>
      <c r="G7" s="26"/>
      <c r="H7" s="26"/>
      <c r="I7" s="35"/>
      <c r="J7" s="1"/>
      <c r="K7" s="1"/>
      <c r="L7" s="1"/>
      <c r="M7" s="1"/>
      <c r="AB7" s="2">
        <f>ROUND(((E5*E8/100*E18/100)-(E5*E8/100*(E18/100)*E19/100)),0)</f>
        <v>722</v>
      </c>
    </row>
    <row r="8" spans="1:28" ht="15.75" x14ac:dyDescent="0.25">
      <c r="A8" s="30" t="s">
        <v>128</v>
      </c>
      <c r="B8" s="26"/>
      <c r="C8" s="26"/>
      <c r="D8" s="27" t="s">
        <v>4</v>
      </c>
      <c r="E8" s="34">
        <v>95</v>
      </c>
      <c r="F8" s="26"/>
      <c r="G8" s="26"/>
      <c r="H8" s="26"/>
      <c r="I8" s="35"/>
      <c r="J8" s="1"/>
      <c r="K8" s="1"/>
      <c r="L8" s="1"/>
      <c r="M8" s="1"/>
      <c r="AB8" s="2">
        <f>ROUND(((E5*E8/100*F18/100)-(E5*E8/100*(F18/100)*F19/100)),0)</f>
        <v>581</v>
      </c>
    </row>
    <row r="9" spans="1:28" ht="15.75" x14ac:dyDescent="0.25">
      <c r="A9" s="25" t="s">
        <v>6</v>
      </c>
      <c r="B9" s="36"/>
      <c r="C9" s="36"/>
      <c r="D9" s="36" t="s">
        <v>7</v>
      </c>
      <c r="E9" s="36">
        <v>135</v>
      </c>
      <c r="F9" s="26"/>
      <c r="G9" s="26"/>
      <c r="H9" s="26"/>
      <c r="I9" s="35"/>
      <c r="J9" s="1"/>
      <c r="K9" s="1"/>
      <c r="L9" s="1"/>
      <c r="M9" s="1"/>
      <c r="AB9" s="2">
        <f>ROUND(((E5*E8/100*G18/100)-(E5*E8/100*(G18/100)*G19/100)),0)</f>
        <v>399</v>
      </c>
    </row>
    <row r="10" spans="1:28" ht="15.75" x14ac:dyDescent="0.25">
      <c r="A10" s="30" t="s">
        <v>8</v>
      </c>
      <c r="B10" s="26"/>
      <c r="C10" s="37"/>
      <c r="D10" s="27" t="s">
        <v>127</v>
      </c>
      <c r="E10" s="34">
        <v>140</v>
      </c>
      <c r="F10" s="26"/>
      <c r="G10" s="26"/>
      <c r="H10" s="26"/>
      <c r="I10" s="33"/>
      <c r="J10" s="1"/>
      <c r="K10" s="1"/>
      <c r="L10" s="1"/>
      <c r="M10" s="1"/>
      <c r="AB10" s="2">
        <f>IF(E5&lt;=0,0,J138*E5)</f>
        <v>132732.65997862018</v>
      </c>
    </row>
    <row r="11" spans="1:28" ht="15.75" x14ac:dyDescent="0.25">
      <c r="A11" s="30" t="s">
        <v>9</v>
      </c>
      <c r="B11" s="26"/>
      <c r="C11" s="26"/>
      <c r="D11" s="27" t="s">
        <v>2</v>
      </c>
      <c r="E11" s="38">
        <f>AB3</f>
        <v>140</v>
      </c>
      <c r="F11" s="26"/>
      <c r="G11" s="26"/>
      <c r="H11" s="26"/>
      <c r="I11" s="33"/>
      <c r="J11" s="1"/>
      <c r="K11" s="1"/>
      <c r="L11" s="1"/>
      <c r="M11" s="1"/>
      <c r="AB11" s="2">
        <f>E5</f>
        <v>400</v>
      </c>
    </row>
    <row r="12" spans="1:28" ht="15.75" x14ac:dyDescent="0.25">
      <c r="A12" s="30" t="s">
        <v>10</v>
      </c>
      <c r="B12" s="26"/>
      <c r="C12" s="26"/>
      <c r="D12" s="27" t="s">
        <v>2</v>
      </c>
      <c r="E12" s="34">
        <v>16</v>
      </c>
      <c r="F12" s="28"/>
      <c r="G12" s="39"/>
      <c r="H12" s="39"/>
      <c r="I12" s="35"/>
      <c r="J12" s="1"/>
      <c r="K12" s="1"/>
      <c r="L12" s="1"/>
      <c r="M12" s="1"/>
      <c r="AB12" s="4">
        <f>I109+I111+I112</f>
        <v>1200</v>
      </c>
    </row>
    <row r="13" spans="1:28" ht="15.75" x14ac:dyDescent="0.25">
      <c r="A13" s="25" t="s">
        <v>11</v>
      </c>
      <c r="B13" s="36"/>
      <c r="C13" s="36"/>
      <c r="D13" s="36" t="s">
        <v>7</v>
      </c>
      <c r="E13" s="36">
        <v>225</v>
      </c>
      <c r="F13" s="28"/>
      <c r="G13" s="39"/>
      <c r="H13" s="39"/>
      <c r="I13" s="35"/>
      <c r="J13" s="1"/>
      <c r="K13" s="1"/>
      <c r="L13" s="1"/>
      <c r="M13" s="1"/>
      <c r="AB13" s="2">
        <f>E26*F26</f>
        <v>0</v>
      </c>
    </row>
    <row r="14" spans="1:28" ht="15.75" x14ac:dyDescent="0.25">
      <c r="A14" s="30" t="s">
        <v>12</v>
      </c>
      <c r="B14" s="26"/>
      <c r="C14" s="40"/>
      <c r="D14" s="27" t="s">
        <v>127</v>
      </c>
      <c r="E14" s="34">
        <v>300</v>
      </c>
      <c r="F14" s="26"/>
      <c r="G14" s="26"/>
      <c r="H14" s="26"/>
      <c r="I14" s="35"/>
      <c r="J14" s="1"/>
      <c r="K14" s="1"/>
      <c r="L14" s="1"/>
      <c r="M14" s="1"/>
      <c r="AB14" s="4">
        <f>SUM(I44:I56)</f>
        <v>109556</v>
      </c>
    </row>
    <row r="15" spans="1:28" ht="15.75" x14ac:dyDescent="0.25">
      <c r="A15" s="30" t="s">
        <v>13</v>
      </c>
      <c r="B15" s="26"/>
      <c r="C15" s="26"/>
      <c r="D15" s="27" t="s">
        <v>2</v>
      </c>
      <c r="E15" s="34">
        <v>3</v>
      </c>
      <c r="F15" s="31"/>
      <c r="G15" s="31"/>
      <c r="H15" s="31"/>
      <c r="I15" s="35"/>
      <c r="J15" s="5"/>
      <c r="K15" s="1"/>
      <c r="L15" s="5">
        <v>0</v>
      </c>
      <c r="M15" s="1"/>
      <c r="AB15" s="2">
        <f>E27*F27</f>
        <v>0</v>
      </c>
    </row>
    <row r="16" spans="1:28" ht="15.75" x14ac:dyDescent="0.25">
      <c r="A16" s="41"/>
      <c r="B16" s="26"/>
      <c r="C16" s="26"/>
      <c r="D16" s="39"/>
      <c r="E16" s="31"/>
      <c r="F16" s="31"/>
      <c r="G16" s="31"/>
      <c r="H16" s="31"/>
      <c r="I16" s="35"/>
      <c r="J16" s="5"/>
      <c r="K16" s="1"/>
      <c r="L16" s="6">
        <f ca="1">AB4</f>
        <v>245215.42499999999</v>
      </c>
      <c r="M16" s="1"/>
      <c r="AB16" s="4">
        <f>I120+I121</f>
        <v>8812</v>
      </c>
    </row>
    <row r="17" spans="1:29" ht="15.75" x14ac:dyDescent="0.25">
      <c r="A17" s="30"/>
      <c r="B17" s="42"/>
      <c r="C17" s="26"/>
      <c r="D17" s="40"/>
      <c r="E17" s="38" t="s">
        <v>200</v>
      </c>
      <c r="F17" s="38" t="s">
        <v>14</v>
      </c>
      <c r="G17" s="38" t="s">
        <v>201</v>
      </c>
      <c r="H17" s="38"/>
      <c r="I17" s="35"/>
      <c r="J17" s="1"/>
      <c r="K17" s="1"/>
      <c r="L17" s="6">
        <f>AB5</f>
        <v>69458.796000000002</v>
      </c>
      <c r="M17" s="1"/>
      <c r="AB17" s="2">
        <f>E28*F28</f>
        <v>0</v>
      </c>
    </row>
    <row r="18" spans="1:29" ht="15.75" x14ac:dyDescent="0.25">
      <c r="A18" s="30" t="s">
        <v>15</v>
      </c>
      <c r="B18" s="26"/>
      <c r="C18" s="31"/>
      <c r="D18" s="27" t="s">
        <v>4</v>
      </c>
      <c r="E18" s="34">
        <v>200</v>
      </c>
      <c r="F18" s="34">
        <v>180</v>
      </c>
      <c r="G18" s="34">
        <v>150</v>
      </c>
      <c r="H18" s="43"/>
      <c r="I18" s="44"/>
      <c r="J18" s="1"/>
      <c r="K18" s="1"/>
      <c r="L18" s="6">
        <f>AB6</f>
        <v>318435</v>
      </c>
      <c r="M18" s="1"/>
      <c r="AB18" s="4">
        <f>I110+I113+I119+I122+I125+I128</f>
        <v>32412</v>
      </c>
    </row>
    <row r="19" spans="1:29" ht="15.75" x14ac:dyDescent="0.25">
      <c r="A19" s="30" t="s">
        <v>16</v>
      </c>
      <c r="B19" s="26"/>
      <c r="C19" s="26"/>
      <c r="D19" s="27" t="s">
        <v>4</v>
      </c>
      <c r="E19" s="34">
        <v>5</v>
      </c>
      <c r="F19" s="34">
        <v>15</v>
      </c>
      <c r="G19" s="34">
        <v>30</v>
      </c>
      <c r="H19" s="43"/>
      <c r="I19" s="44"/>
      <c r="J19" s="5"/>
      <c r="K19" s="1"/>
      <c r="L19" s="6">
        <f>AB10</f>
        <v>132732.65997862018</v>
      </c>
      <c r="M19" s="1"/>
      <c r="AB19" s="2">
        <f>ROUND(E5*E6/100,0)</f>
        <v>120</v>
      </c>
    </row>
    <row r="20" spans="1:29" ht="15.75" x14ac:dyDescent="0.25">
      <c r="A20" s="30" t="s">
        <v>17</v>
      </c>
      <c r="B20" s="26"/>
      <c r="C20" s="45"/>
      <c r="D20" s="27" t="s">
        <v>2</v>
      </c>
      <c r="E20" s="38">
        <f>AB7</f>
        <v>722</v>
      </c>
      <c r="F20" s="38">
        <f>AB8</f>
        <v>581</v>
      </c>
      <c r="G20" s="38">
        <f>AB9</f>
        <v>399</v>
      </c>
      <c r="H20" s="38"/>
      <c r="I20" s="44"/>
      <c r="J20" s="5"/>
      <c r="K20" s="1"/>
      <c r="L20" s="1"/>
      <c r="M20" s="1"/>
      <c r="AB20" s="2">
        <f>E10</f>
        <v>140</v>
      </c>
    </row>
    <row r="21" spans="1:29" ht="15.75" x14ac:dyDescent="0.25">
      <c r="A21" s="30" t="s">
        <v>126</v>
      </c>
      <c r="B21" s="26"/>
      <c r="C21" s="26"/>
      <c r="D21" s="27" t="s">
        <v>18</v>
      </c>
      <c r="E21" s="34">
        <v>20</v>
      </c>
      <c r="F21" s="34">
        <v>15</v>
      </c>
      <c r="G21" s="34">
        <v>10</v>
      </c>
      <c r="H21" s="43"/>
      <c r="I21" s="33"/>
      <c r="J21" s="1"/>
      <c r="K21" s="1"/>
      <c r="L21" s="7" t="s">
        <v>20</v>
      </c>
      <c r="M21" s="1"/>
      <c r="AB21" s="2">
        <f>E29*F29</f>
        <v>16800</v>
      </c>
    </row>
    <row r="22" spans="1:29" ht="15.75" x14ac:dyDescent="0.25">
      <c r="A22" s="30" t="s">
        <v>19</v>
      </c>
      <c r="B22" s="31"/>
      <c r="C22" s="31"/>
      <c r="D22" s="27" t="s">
        <v>146</v>
      </c>
      <c r="E22" s="34">
        <v>975</v>
      </c>
      <c r="F22" s="34">
        <v>860</v>
      </c>
      <c r="G22" s="34">
        <v>610</v>
      </c>
      <c r="H22" s="43"/>
      <c r="I22" s="46"/>
      <c r="J22" s="1"/>
      <c r="K22" s="1"/>
      <c r="L22" s="7" t="s">
        <v>22</v>
      </c>
      <c r="M22" s="1"/>
      <c r="AB22" s="4">
        <f>I123+I124</f>
        <v>37068</v>
      </c>
    </row>
    <row r="23" spans="1:29" ht="15.75" x14ac:dyDescent="0.25">
      <c r="A23" s="30" t="s">
        <v>21</v>
      </c>
      <c r="B23" s="26"/>
      <c r="C23" s="26"/>
      <c r="D23" s="27" t="s">
        <v>144</v>
      </c>
      <c r="E23" s="53">
        <v>1.1499999999999999</v>
      </c>
      <c r="F23" s="53">
        <v>0.9</v>
      </c>
      <c r="G23" s="53">
        <v>0.5</v>
      </c>
      <c r="H23" s="47"/>
      <c r="I23" s="33"/>
      <c r="J23" s="1"/>
      <c r="K23" s="1"/>
      <c r="L23" s="6">
        <f>AB11</f>
        <v>400</v>
      </c>
      <c r="M23" s="1"/>
      <c r="AB23" s="2">
        <f>E15</f>
        <v>3</v>
      </c>
    </row>
    <row r="24" spans="1:29" ht="15.75" x14ac:dyDescent="0.25">
      <c r="A24" s="64"/>
      <c r="B24" s="65"/>
      <c r="C24" s="65"/>
      <c r="D24" s="187"/>
      <c r="E24" s="187"/>
      <c r="F24" s="187"/>
      <c r="G24" s="187"/>
      <c r="H24" s="187"/>
      <c r="I24" s="188"/>
      <c r="J24" s="1"/>
      <c r="K24" s="1"/>
      <c r="L24" s="8">
        <f>AB12</f>
        <v>1200</v>
      </c>
      <c r="M24" s="1"/>
      <c r="AB24" s="2">
        <f>E14</f>
        <v>300</v>
      </c>
    </row>
    <row r="25" spans="1:29" ht="15.75" x14ac:dyDescent="0.25">
      <c r="A25" s="48" t="s">
        <v>23</v>
      </c>
      <c r="B25" s="49"/>
      <c r="C25" s="49"/>
      <c r="D25" s="50" t="s">
        <v>24</v>
      </c>
      <c r="E25" s="38" t="s">
        <v>25</v>
      </c>
      <c r="F25" s="38" t="s">
        <v>26</v>
      </c>
      <c r="G25" s="51" t="s">
        <v>129</v>
      </c>
      <c r="H25" s="51" t="s">
        <v>144</v>
      </c>
      <c r="I25" s="52" t="s">
        <v>27</v>
      </c>
      <c r="J25" s="1"/>
      <c r="K25" s="1"/>
      <c r="L25" s="8">
        <f>AB14</f>
        <v>109556</v>
      </c>
      <c r="M25" s="1"/>
      <c r="AB25" s="2">
        <f>E30*F30</f>
        <v>900</v>
      </c>
    </row>
    <row r="26" spans="1:29" ht="15.75" x14ac:dyDescent="0.25">
      <c r="A26" s="30" t="s">
        <v>28</v>
      </c>
      <c r="B26" s="26"/>
      <c r="C26" s="26"/>
      <c r="D26" s="38" t="s">
        <v>2</v>
      </c>
      <c r="E26" s="34">
        <v>0</v>
      </c>
      <c r="F26" s="53">
        <v>200</v>
      </c>
      <c r="G26" s="54">
        <f>AB34</f>
        <v>0</v>
      </c>
      <c r="H26" s="55">
        <f t="shared" ref="H26:H32" si="0">AC26</f>
        <v>0</v>
      </c>
      <c r="I26" s="56">
        <f>AB13</f>
        <v>0</v>
      </c>
      <c r="J26" s="1"/>
      <c r="K26" s="1"/>
      <c r="L26" s="8">
        <f>AB16</f>
        <v>8812</v>
      </c>
      <c r="M26" s="1"/>
      <c r="AB26" s="4">
        <f>I127+I126</f>
        <v>13072</v>
      </c>
      <c r="AC26" s="2">
        <f>I26/$E$32</f>
        <v>0</v>
      </c>
    </row>
    <row r="27" spans="1:29" ht="15.75" x14ac:dyDescent="0.25">
      <c r="A27" s="30" t="s">
        <v>29</v>
      </c>
      <c r="B27" s="26"/>
      <c r="C27" s="26"/>
      <c r="D27" s="38" t="s">
        <v>2</v>
      </c>
      <c r="E27" s="34">
        <v>0</v>
      </c>
      <c r="F27" s="53">
        <v>0</v>
      </c>
      <c r="G27" s="54">
        <f t="shared" ref="G27:G32" si="1">AB35</f>
        <v>0</v>
      </c>
      <c r="H27" s="55">
        <f t="shared" si="0"/>
        <v>0</v>
      </c>
      <c r="I27" s="56">
        <f>AB15</f>
        <v>0</v>
      </c>
      <c r="J27" s="1"/>
      <c r="K27" s="1"/>
      <c r="L27" s="8">
        <f>AB18</f>
        <v>32412</v>
      </c>
      <c r="M27" s="1"/>
      <c r="AB27" s="2">
        <f>(+F20-E11)-SUM(E26:E28)</f>
        <v>441</v>
      </c>
      <c r="AC27" s="2">
        <f t="shared" ref="AC27:AC34" si="2">I27/$E$32</f>
        <v>0</v>
      </c>
    </row>
    <row r="28" spans="1:29" ht="15.75" x14ac:dyDescent="0.25">
      <c r="A28" s="30" t="s">
        <v>30</v>
      </c>
      <c r="B28" s="31"/>
      <c r="C28" s="40"/>
      <c r="D28" s="38" t="s">
        <v>2</v>
      </c>
      <c r="E28" s="34">
        <v>0</v>
      </c>
      <c r="F28" s="53">
        <v>0</v>
      </c>
      <c r="G28" s="57">
        <f t="shared" si="1"/>
        <v>0</v>
      </c>
      <c r="H28" s="55">
        <f t="shared" si="0"/>
        <v>0</v>
      </c>
      <c r="I28" s="56">
        <f>AB17</f>
        <v>0</v>
      </c>
      <c r="J28" s="9"/>
      <c r="K28" s="1"/>
      <c r="L28" s="8">
        <f>AB22</f>
        <v>37068</v>
      </c>
      <c r="M28" s="1"/>
      <c r="AB28" s="2">
        <f>F21</f>
        <v>15</v>
      </c>
      <c r="AC28" s="2">
        <f t="shared" si="2"/>
        <v>0</v>
      </c>
    </row>
    <row r="29" spans="1:29" ht="15.75" x14ac:dyDescent="0.25">
      <c r="A29" s="30" t="s">
        <v>31</v>
      </c>
      <c r="B29" s="31"/>
      <c r="C29" s="40"/>
      <c r="D29" s="38" t="s">
        <v>2</v>
      </c>
      <c r="E29" s="38">
        <f>AB19</f>
        <v>120</v>
      </c>
      <c r="F29" s="55">
        <f>AB20</f>
        <v>140</v>
      </c>
      <c r="G29" s="57">
        <f t="shared" si="1"/>
        <v>42</v>
      </c>
      <c r="H29" s="55">
        <f t="shared" si="0"/>
        <v>5.1407588739290085E-2</v>
      </c>
      <c r="I29" s="56">
        <f>AB21</f>
        <v>16800</v>
      </c>
      <c r="J29" s="1"/>
      <c r="K29" s="1"/>
      <c r="L29" s="8">
        <f>AB26</f>
        <v>13072</v>
      </c>
      <c r="M29" s="1"/>
      <c r="AB29" s="2">
        <f>E31*F31</f>
        <v>6615</v>
      </c>
      <c r="AC29" s="2">
        <f t="shared" si="2"/>
        <v>5.1407588739290085E-2</v>
      </c>
    </row>
    <row r="30" spans="1:29" ht="15.75" x14ac:dyDescent="0.25">
      <c r="A30" s="30" t="s">
        <v>32</v>
      </c>
      <c r="B30" s="31"/>
      <c r="C30" s="40"/>
      <c r="D30" s="38" t="s">
        <v>2</v>
      </c>
      <c r="E30" s="38">
        <f>AB23</f>
        <v>3</v>
      </c>
      <c r="F30" s="55">
        <f>AB24</f>
        <v>300</v>
      </c>
      <c r="G30" s="57">
        <f t="shared" si="1"/>
        <v>2.25</v>
      </c>
      <c r="H30" s="55">
        <f t="shared" si="0"/>
        <v>2.7539779681762548E-3</v>
      </c>
      <c r="I30" s="56">
        <f>AB25</f>
        <v>900</v>
      </c>
      <c r="J30" s="1"/>
      <c r="K30" s="1"/>
      <c r="L30" s="5"/>
      <c r="M30" s="1"/>
      <c r="AB30" s="2">
        <f>E5*F22*E8/100</f>
        <v>326800</v>
      </c>
      <c r="AC30" s="2">
        <f t="shared" si="2"/>
        <v>2.7539779681762548E-3</v>
      </c>
    </row>
    <row r="31" spans="1:29" ht="15.75" x14ac:dyDescent="0.25">
      <c r="A31" s="30" t="s">
        <v>33</v>
      </c>
      <c r="B31" s="31"/>
      <c r="C31" s="26"/>
      <c r="D31" s="38" t="s">
        <v>2</v>
      </c>
      <c r="E31" s="38">
        <f>AB27</f>
        <v>441</v>
      </c>
      <c r="F31" s="55">
        <f>AB28</f>
        <v>15</v>
      </c>
      <c r="G31" s="57">
        <f t="shared" si="1"/>
        <v>16.537500000000001</v>
      </c>
      <c r="H31" s="55">
        <f t="shared" si="0"/>
        <v>2.0241738066095472E-2</v>
      </c>
      <c r="I31" s="56">
        <f>AB29</f>
        <v>6615</v>
      </c>
      <c r="J31" s="1"/>
      <c r="K31" s="1"/>
      <c r="L31" s="5"/>
      <c r="M31" s="1"/>
      <c r="AB31" s="2">
        <f>F23</f>
        <v>0.9</v>
      </c>
      <c r="AC31" s="2">
        <f t="shared" si="2"/>
        <v>2.0241738066095472E-2</v>
      </c>
    </row>
    <row r="32" spans="1:29" ht="15.75" x14ac:dyDescent="0.25">
      <c r="A32" s="30" t="s">
        <v>34</v>
      </c>
      <c r="B32" s="31"/>
      <c r="C32" s="26"/>
      <c r="D32" s="38" t="s">
        <v>145</v>
      </c>
      <c r="E32" s="58">
        <f>AB30</f>
        <v>326800</v>
      </c>
      <c r="F32" s="55">
        <f>AB31</f>
        <v>0.9</v>
      </c>
      <c r="G32" s="57">
        <f t="shared" si="1"/>
        <v>735.3</v>
      </c>
      <c r="H32" s="55">
        <f t="shared" si="0"/>
        <v>0.9</v>
      </c>
      <c r="I32" s="56">
        <f>AB32</f>
        <v>294120</v>
      </c>
      <c r="J32" s="1"/>
      <c r="K32" s="1"/>
      <c r="L32" s="1"/>
      <c r="M32" s="1"/>
      <c r="AB32" s="2">
        <f>E32*F32</f>
        <v>294120</v>
      </c>
      <c r="AC32" s="2">
        <f t="shared" si="2"/>
        <v>0.9</v>
      </c>
    </row>
    <row r="33" spans="1:32" ht="15.75" x14ac:dyDescent="0.25">
      <c r="A33" s="59" t="s">
        <v>35</v>
      </c>
      <c r="B33" s="60" t="s">
        <v>35</v>
      </c>
      <c r="C33" s="26"/>
      <c r="D33" s="26"/>
      <c r="E33" s="40"/>
      <c r="F33" s="31"/>
      <c r="G33" s="61" t="s">
        <v>35</v>
      </c>
      <c r="H33" s="61"/>
      <c r="I33" s="62" t="s">
        <v>35</v>
      </c>
      <c r="J33" s="1"/>
      <c r="K33" s="1"/>
      <c r="L33" s="1"/>
      <c r="M33" s="1"/>
      <c r="AB33" s="4">
        <f>SUM(I26:I32)</f>
        <v>318435</v>
      </c>
    </row>
    <row r="34" spans="1:32" ht="15.75" x14ac:dyDescent="0.25">
      <c r="A34" s="30" t="s">
        <v>36</v>
      </c>
      <c r="B34" s="31"/>
      <c r="C34" s="63"/>
      <c r="D34" s="31"/>
      <c r="E34" s="40"/>
      <c r="F34" s="31"/>
      <c r="G34" s="57">
        <f>AB41</f>
        <v>796.08749999999998</v>
      </c>
      <c r="H34" s="55">
        <f>AC34</f>
        <v>0.97440330477356185</v>
      </c>
      <c r="I34" s="56">
        <f>AB33</f>
        <v>318435</v>
      </c>
      <c r="J34" s="9"/>
      <c r="K34" s="1"/>
      <c r="L34" s="1"/>
      <c r="M34" s="1"/>
      <c r="AB34" s="4">
        <f>I26/E5</f>
        <v>0</v>
      </c>
      <c r="AC34" s="2">
        <f t="shared" si="2"/>
        <v>0.97440330477356185</v>
      </c>
    </row>
    <row r="35" spans="1:32" ht="15.75" x14ac:dyDescent="0.25">
      <c r="A35" s="64"/>
      <c r="B35" s="65"/>
      <c r="C35" s="65"/>
      <c r="D35" s="65"/>
      <c r="E35" s="66"/>
      <c r="F35" s="65"/>
      <c r="G35" s="66"/>
      <c r="H35" s="66"/>
      <c r="I35" s="67"/>
      <c r="J35" s="10"/>
      <c r="K35" s="1"/>
      <c r="L35" s="1"/>
      <c r="M35" s="1"/>
      <c r="AB35" s="4">
        <f>I27/E5</f>
        <v>0</v>
      </c>
    </row>
    <row r="36" spans="1:32" ht="15.75" x14ac:dyDescent="0.25">
      <c r="A36" s="68"/>
      <c r="B36" s="68"/>
      <c r="C36" s="68"/>
      <c r="D36" s="68"/>
      <c r="E36" s="68"/>
      <c r="F36" s="68"/>
      <c r="G36" s="68"/>
      <c r="H36" s="68"/>
      <c r="I36" s="68"/>
      <c r="J36" s="10"/>
      <c r="K36" s="10"/>
      <c r="L36" s="1"/>
      <c r="M36" s="1"/>
      <c r="AB36" s="4">
        <f>I28/E5</f>
        <v>0</v>
      </c>
    </row>
    <row r="37" spans="1:32" ht="15.75" hidden="1" x14ac:dyDescent="0.25">
      <c r="A37" s="30" t="s">
        <v>37</v>
      </c>
      <c r="B37" s="31"/>
      <c r="C37" s="63"/>
      <c r="D37" s="31"/>
      <c r="E37" s="40"/>
      <c r="F37" s="69">
        <f>E5</f>
        <v>400</v>
      </c>
      <c r="G37" s="27" t="s">
        <v>38</v>
      </c>
      <c r="H37" s="27"/>
      <c r="I37" s="35"/>
      <c r="J37" s="10"/>
      <c r="K37" s="10"/>
      <c r="L37" s="10"/>
      <c r="M37" s="1"/>
      <c r="AB37" s="4">
        <f>I29/E5</f>
        <v>42</v>
      </c>
    </row>
    <row r="38" spans="1:32" ht="15.75" hidden="1" x14ac:dyDescent="0.25">
      <c r="A38" s="30" t="s">
        <v>39</v>
      </c>
      <c r="B38" s="31"/>
      <c r="C38" s="63"/>
      <c r="D38" s="70"/>
      <c r="E38" s="26"/>
      <c r="F38" s="37"/>
      <c r="G38" s="26"/>
      <c r="H38" s="26"/>
      <c r="I38" s="33"/>
      <c r="J38" s="9"/>
      <c r="K38" s="10"/>
      <c r="L38" s="10"/>
      <c r="M38" s="1"/>
      <c r="AB38" s="4">
        <f>I30/E5</f>
        <v>2.25</v>
      </c>
    </row>
    <row r="39" spans="1:32" ht="15.75" x14ac:dyDescent="0.25">
      <c r="A39" s="41"/>
      <c r="B39" s="26"/>
      <c r="C39" s="26"/>
      <c r="D39" s="31"/>
      <c r="E39" s="26"/>
      <c r="F39" s="26"/>
      <c r="G39" s="40"/>
      <c r="H39" s="40"/>
      <c r="I39" s="35"/>
      <c r="J39" s="10"/>
      <c r="K39" s="10"/>
      <c r="L39" s="10"/>
      <c r="M39" s="1"/>
      <c r="AB39" s="4">
        <f>I31/E5</f>
        <v>16.537500000000001</v>
      </c>
    </row>
    <row r="40" spans="1:32" ht="15.75" x14ac:dyDescent="0.25">
      <c r="A40" s="30" t="s">
        <v>40</v>
      </c>
      <c r="B40" s="31"/>
      <c r="C40" s="63" t="s">
        <v>136</v>
      </c>
      <c r="D40" s="38" t="s">
        <v>134</v>
      </c>
      <c r="E40" s="38" t="s">
        <v>135</v>
      </c>
      <c r="F40" s="38"/>
      <c r="G40" s="55"/>
      <c r="H40" s="55"/>
      <c r="I40" s="71" t="s">
        <v>27</v>
      </c>
      <c r="J40" s="10"/>
      <c r="K40" s="10"/>
      <c r="L40" s="10"/>
      <c r="M40" s="1"/>
      <c r="AB40" s="4">
        <f>I32/E5</f>
        <v>735.3</v>
      </c>
    </row>
    <row r="41" spans="1:32" ht="15.75" x14ac:dyDescent="0.25">
      <c r="A41" s="41"/>
      <c r="B41" s="26"/>
      <c r="C41" s="31" t="s">
        <v>130</v>
      </c>
      <c r="D41" s="31" t="s">
        <v>133</v>
      </c>
      <c r="E41" s="38" t="s">
        <v>131</v>
      </c>
      <c r="F41" s="38" t="s">
        <v>132</v>
      </c>
      <c r="G41" s="38" t="s">
        <v>42</v>
      </c>
      <c r="H41" s="55" t="s">
        <v>144</v>
      </c>
      <c r="I41" s="71" t="str">
        <f>AB43</f>
        <v xml:space="preserve"> 400 Does</v>
      </c>
      <c r="J41" s="1"/>
      <c r="K41" s="1"/>
      <c r="L41" s="10"/>
      <c r="M41" s="1"/>
      <c r="AB41" s="4">
        <f>I34/E5</f>
        <v>796.08749999999998</v>
      </c>
    </row>
    <row r="42" spans="1:32" ht="15.75" x14ac:dyDescent="0.25">
      <c r="A42" s="30" t="s">
        <v>43</v>
      </c>
      <c r="B42" s="26"/>
      <c r="C42" s="38" t="s">
        <v>44</v>
      </c>
      <c r="D42" s="38" t="s">
        <v>44</v>
      </c>
      <c r="E42" s="38" t="s">
        <v>44</v>
      </c>
      <c r="F42" s="38" t="s">
        <v>44</v>
      </c>
      <c r="G42" s="38" t="s">
        <v>45</v>
      </c>
      <c r="H42" s="38" t="s">
        <v>45</v>
      </c>
      <c r="I42" s="71" t="s">
        <v>46</v>
      </c>
      <c r="J42" s="9"/>
      <c r="K42" s="1"/>
      <c r="L42" s="10"/>
      <c r="M42" s="1"/>
      <c r="AB42" s="2" t="str">
        <f>""&amp;FIXED(F37,0,TRUE)&amp;" Does"</f>
        <v>400 Does</v>
      </c>
    </row>
    <row r="43" spans="1:32" ht="15.75" x14ac:dyDescent="0.25">
      <c r="A43" s="30" t="s">
        <v>232</v>
      </c>
      <c r="B43" s="31"/>
      <c r="C43" s="26"/>
      <c r="D43" s="26"/>
      <c r="E43" s="40"/>
      <c r="F43" s="37"/>
      <c r="G43" s="40"/>
      <c r="H43" s="40"/>
      <c r="I43" s="35"/>
      <c r="J43" s="9"/>
      <c r="K43" s="1"/>
      <c r="L43" s="1"/>
      <c r="M43" s="1"/>
      <c r="AB43" s="2" t="str">
        <f>" "&amp;FIXED(E5,0,TRUE)&amp;" Does"</f>
        <v xml:space="preserve"> 400 Does</v>
      </c>
      <c r="AD43" s="2" t="s">
        <v>192</v>
      </c>
      <c r="AF43" s="2" t="s">
        <v>195</v>
      </c>
    </row>
    <row r="44" spans="1:32" ht="15.75" x14ac:dyDescent="0.25">
      <c r="A44" s="84" t="s">
        <v>213</v>
      </c>
      <c r="B44" s="72"/>
      <c r="C44" s="177">
        <v>7</v>
      </c>
      <c r="D44" s="73">
        <v>1.6</v>
      </c>
      <c r="E44" s="74">
        <v>305</v>
      </c>
      <c r="F44" s="34">
        <f>E5</f>
        <v>400</v>
      </c>
      <c r="G44" s="55">
        <f>AB44</f>
        <v>34.160000000000004</v>
      </c>
      <c r="H44" s="182">
        <f t="shared" ref="H44:H49" si="3">AC44</f>
        <v>4.181150550795594E-2</v>
      </c>
      <c r="I44" s="56">
        <f>AB45</f>
        <v>13664.000000000002</v>
      </c>
      <c r="J44" s="1"/>
      <c r="L44" s="1"/>
      <c r="M44" s="1"/>
      <c r="AB44" s="2">
        <f>C44*D44/100*E44*F44/E5</f>
        <v>34.160000000000004</v>
      </c>
      <c r="AC44" s="2">
        <f>I44/$E$32</f>
        <v>4.181150550795594E-2</v>
      </c>
      <c r="AD44" s="2">
        <v>153</v>
      </c>
      <c r="AE44" s="2" t="s">
        <v>193</v>
      </c>
      <c r="AF44" s="2">
        <f>AD44/2205</f>
        <v>6.9387755102040816E-2</v>
      </c>
    </row>
    <row r="45" spans="1:32" ht="15.75" x14ac:dyDescent="0.25">
      <c r="A45" s="84" t="s">
        <v>214</v>
      </c>
      <c r="B45" s="72"/>
      <c r="C45" s="177">
        <v>5</v>
      </c>
      <c r="D45" s="73">
        <v>4.5</v>
      </c>
      <c r="E45" s="74">
        <v>305</v>
      </c>
      <c r="F45" s="34">
        <f>E5</f>
        <v>400</v>
      </c>
      <c r="G45" s="55">
        <f>AB46</f>
        <v>68.625</v>
      </c>
      <c r="H45" s="182">
        <f t="shared" si="3"/>
        <v>8.3996328029375761E-2</v>
      </c>
      <c r="I45" s="56">
        <f>AB47</f>
        <v>27450</v>
      </c>
      <c r="J45" s="9"/>
      <c r="L45" s="1"/>
      <c r="M45" s="1"/>
      <c r="AB45" s="2">
        <f>G44*E5</f>
        <v>13664.000000000002</v>
      </c>
      <c r="AC45" s="2">
        <f t="shared" ref="AC45:AC49" si="4">I45/$E$32</f>
        <v>8.3996328029375761E-2</v>
      </c>
      <c r="AD45" s="2">
        <v>181.5</v>
      </c>
      <c r="AE45" s="2" t="s">
        <v>194</v>
      </c>
      <c r="AF45" s="2">
        <f>AD45/2205</f>
        <v>8.2312925170068024E-2</v>
      </c>
    </row>
    <row r="46" spans="1:32" ht="15.75" x14ac:dyDescent="0.25">
      <c r="A46" s="84" t="s">
        <v>215</v>
      </c>
      <c r="B46" s="72"/>
      <c r="C46" s="177">
        <v>0.75</v>
      </c>
      <c r="D46" s="73">
        <v>23</v>
      </c>
      <c r="E46" s="74">
        <v>305</v>
      </c>
      <c r="F46" s="34">
        <f>E5</f>
        <v>400</v>
      </c>
      <c r="G46" s="55">
        <f>AB48</f>
        <v>52.612499999999997</v>
      </c>
      <c r="H46" s="182">
        <f t="shared" si="3"/>
        <v>6.4397184822521422E-2</v>
      </c>
      <c r="I46" s="56">
        <f>AB49</f>
        <v>21045</v>
      </c>
      <c r="J46" s="9"/>
      <c r="L46" s="10"/>
      <c r="M46" s="1"/>
      <c r="AB46" s="2">
        <f>C45*D45/100*E45*F45/E5</f>
        <v>68.625</v>
      </c>
      <c r="AC46" s="2">
        <f t="shared" si="4"/>
        <v>6.4397184822521422E-2</v>
      </c>
      <c r="AD46" s="2">
        <v>500</v>
      </c>
      <c r="AE46" s="2" t="s">
        <v>196</v>
      </c>
      <c r="AF46" s="2">
        <f t="shared" ref="AF46:AF47" si="5">AD46/2205</f>
        <v>0.22675736961451248</v>
      </c>
    </row>
    <row r="47" spans="1:32" ht="15.75" x14ac:dyDescent="0.25">
      <c r="A47" s="84" t="s">
        <v>216</v>
      </c>
      <c r="B47" s="72"/>
      <c r="C47" s="177">
        <v>1.5</v>
      </c>
      <c r="D47" s="73">
        <v>9.8000000000000007</v>
      </c>
      <c r="E47" s="74">
        <v>305</v>
      </c>
      <c r="F47" s="34">
        <f>E5</f>
        <v>400</v>
      </c>
      <c r="G47" s="55">
        <f>AB50</f>
        <v>44.835000000000008</v>
      </c>
      <c r="H47" s="182">
        <f t="shared" si="3"/>
        <v>5.4877600979192177E-2</v>
      </c>
      <c r="I47" s="56">
        <f>AB51</f>
        <v>17934.000000000004</v>
      </c>
      <c r="J47" s="9"/>
      <c r="K47" s="1"/>
      <c r="L47" s="1"/>
      <c r="M47" s="1"/>
      <c r="AB47" s="2">
        <f>G45*E5</f>
        <v>27450</v>
      </c>
      <c r="AC47" s="2">
        <f t="shared" si="4"/>
        <v>5.4877600979192177E-2</v>
      </c>
      <c r="AD47" s="2">
        <v>200</v>
      </c>
      <c r="AE47" s="2" t="s">
        <v>197</v>
      </c>
      <c r="AF47" s="2">
        <f t="shared" si="5"/>
        <v>9.0702947845804988E-2</v>
      </c>
    </row>
    <row r="48" spans="1:32" ht="15.75" x14ac:dyDescent="0.25">
      <c r="A48" s="84" t="s">
        <v>217</v>
      </c>
      <c r="B48" s="72"/>
      <c r="C48" s="177">
        <v>1</v>
      </c>
      <c r="D48" s="73">
        <v>8.1999999999999993</v>
      </c>
      <c r="E48" s="74">
        <v>305</v>
      </c>
      <c r="F48" s="34">
        <f>E5</f>
        <v>400</v>
      </c>
      <c r="G48" s="55">
        <f>AB52</f>
        <v>25.01</v>
      </c>
      <c r="H48" s="182">
        <f t="shared" si="3"/>
        <v>3.0611995104039169E-2</v>
      </c>
      <c r="I48" s="56">
        <f>AB53</f>
        <v>10004</v>
      </c>
      <c r="J48" s="1"/>
      <c r="K48" s="1"/>
      <c r="L48" s="1"/>
      <c r="M48" s="1"/>
      <c r="AB48" s="2">
        <f>C46*D46/100*E46*F46/E5</f>
        <v>52.612499999999997</v>
      </c>
      <c r="AC48" s="2">
        <f t="shared" si="4"/>
        <v>3.0611995104039169E-2</v>
      </c>
    </row>
    <row r="49" spans="1:29" ht="15.75" x14ac:dyDescent="0.25">
      <c r="A49" s="84" t="s">
        <v>218</v>
      </c>
      <c r="B49" s="72"/>
      <c r="C49" s="177">
        <v>0</v>
      </c>
      <c r="D49" s="73">
        <v>0</v>
      </c>
      <c r="E49" s="74">
        <v>305</v>
      </c>
      <c r="F49" s="34">
        <f>E5</f>
        <v>400</v>
      </c>
      <c r="G49" s="55">
        <f>AB54</f>
        <v>0</v>
      </c>
      <c r="H49" s="182">
        <f t="shared" si="3"/>
        <v>0</v>
      </c>
      <c r="I49" s="56">
        <f>AB55</f>
        <v>0</v>
      </c>
      <c r="J49" s="9"/>
      <c r="K49" s="1"/>
      <c r="L49" s="1"/>
      <c r="M49" s="1"/>
      <c r="AB49" s="2">
        <f>G46*E5</f>
        <v>21045</v>
      </c>
      <c r="AC49" s="2">
        <f t="shared" si="4"/>
        <v>0</v>
      </c>
    </row>
    <row r="50" spans="1:29" ht="15.75" x14ac:dyDescent="0.25">
      <c r="A50" s="84" t="s">
        <v>219</v>
      </c>
      <c r="B50" s="72"/>
      <c r="C50" s="177">
        <v>0</v>
      </c>
      <c r="D50" s="73">
        <v>9</v>
      </c>
      <c r="E50" s="74">
        <v>305</v>
      </c>
      <c r="F50" s="34">
        <f>E5</f>
        <v>400</v>
      </c>
      <c r="G50" s="55">
        <f>AB56</f>
        <v>0</v>
      </c>
      <c r="H50" s="182">
        <f>AC51</f>
        <v>0</v>
      </c>
      <c r="I50" s="56">
        <f>AB64</f>
        <v>0</v>
      </c>
      <c r="J50" s="9"/>
      <c r="K50" s="1"/>
      <c r="L50" s="1"/>
      <c r="M50" s="1"/>
      <c r="AB50" s="2">
        <f>C47*D47/100*E47*F47/E5</f>
        <v>44.835000000000008</v>
      </c>
      <c r="AC50" s="2">
        <f>I56/$E$32</f>
        <v>2.977203182374541E-2</v>
      </c>
    </row>
    <row r="51" spans="1:29" ht="15.75" x14ac:dyDescent="0.25">
      <c r="A51" s="84" t="s">
        <v>220</v>
      </c>
      <c r="B51" s="72"/>
      <c r="C51" s="177">
        <v>0</v>
      </c>
      <c r="D51" s="73">
        <v>0</v>
      </c>
      <c r="E51" s="74">
        <v>305</v>
      </c>
      <c r="F51" s="34">
        <f>E5</f>
        <v>400</v>
      </c>
      <c r="G51" s="55">
        <f t="shared" ref="G51:G54" si="6">AB57</f>
        <v>0</v>
      </c>
      <c r="H51" s="182">
        <f t="shared" ref="H51:H54" si="7">AC52</f>
        <v>0</v>
      </c>
      <c r="I51" s="56">
        <f t="shared" ref="I51:I54" si="8">AB65</f>
        <v>0</v>
      </c>
      <c r="J51" s="9"/>
      <c r="K51" s="1"/>
      <c r="L51" s="1"/>
      <c r="M51" s="1"/>
      <c r="AB51" s="2">
        <f>G47*E5</f>
        <v>17934.000000000004</v>
      </c>
      <c r="AC51" s="2">
        <f>I50/$E$32</f>
        <v>0</v>
      </c>
    </row>
    <row r="52" spans="1:29" ht="15.75" x14ac:dyDescent="0.25">
      <c r="A52" s="84" t="s">
        <v>221</v>
      </c>
      <c r="B52" s="72"/>
      <c r="C52" s="177">
        <v>0</v>
      </c>
      <c r="D52" s="73">
        <v>0</v>
      </c>
      <c r="E52" s="74">
        <v>305</v>
      </c>
      <c r="F52" s="34">
        <f>E5</f>
        <v>400</v>
      </c>
      <c r="G52" s="55">
        <f t="shared" si="6"/>
        <v>0</v>
      </c>
      <c r="H52" s="182">
        <f t="shared" si="7"/>
        <v>0</v>
      </c>
      <c r="I52" s="56">
        <f t="shared" si="8"/>
        <v>0</v>
      </c>
      <c r="J52" s="9"/>
      <c r="K52" s="1"/>
      <c r="L52" s="1"/>
      <c r="M52" s="1"/>
      <c r="AB52" s="2">
        <f>C48*D48/100*E48*F48/E5</f>
        <v>25.01</v>
      </c>
      <c r="AC52" s="2">
        <f t="shared" ref="AC52:AC56" si="9">I51/$E$32</f>
        <v>0</v>
      </c>
    </row>
    <row r="53" spans="1:29" ht="15.75" x14ac:dyDescent="0.25">
      <c r="A53" s="84" t="s">
        <v>222</v>
      </c>
      <c r="B53" s="72"/>
      <c r="C53" s="177">
        <v>0</v>
      </c>
      <c r="D53" s="73">
        <v>0</v>
      </c>
      <c r="E53" s="74">
        <v>305</v>
      </c>
      <c r="F53" s="34">
        <f>E5</f>
        <v>400</v>
      </c>
      <c r="G53" s="55">
        <f t="shared" si="6"/>
        <v>0</v>
      </c>
      <c r="H53" s="182">
        <f t="shared" si="7"/>
        <v>0</v>
      </c>
      <c r="I53" s="56">
        <f t="shared" si="8"/>
        <v>0</v>
      </c>
      <c r="J53" s="1"/>
      <c r="K53" s="1"/>
      <c r="L53" s="1"/>
      <c r="M53" s="1"/>
      <c r="AB53" s="2">
        <f>G48*E5</f>
        <v>10004</v>
      </c>
      <c r="AC53" s="2">
        <f t="shared" si="9"/>
        <v>0</v>
      </c>
    </row>
    <row r="54" spans="1:29" ht="15.75" x14ac:dyDescent="0.25">
      <c r="A54" s="84" t="s">
        <v>223</v>
      </c>
      <c r="B54" s="72"/>
      <c r="C54" s="177">
        <v>0</v>
      </c>
      <c r="D54" s="73">
        <v>0</v>
      </c>
      <c r="E54" s="74">
        <v>305</v>
      </c>
      <c r="F54" s="34">
        <f>E5</f>
        <v>400</v>
      </c>
      <c r="G54" s="55">
        <f t="shared" si="6"/>
        <v>0</v>
      </c>
      <c r="H54" s="182">
        <f t="shared" si="7"/>
        <v>0</v>
      </c>
      <c r="I54" s="56">
        <f t="shared" si="8"/>
        <v>0</v>
      </c>
      <c r="J54" s="1"/>
      <c r="K54" s="1"/>
      <c r="L54" s="1"/>
      <c r="M54" s="1"/>
      <c r="AB54" s="2">
        <f>C49*D49/100*E49*F49/E5</f>
        <v>0</v>
      </c>
      <c r="AC54" s="2">
        <f t="shared" si="9"/>
        <v>0</v>
      </c>
    </row>
    <row r="55" spans="1:29" ht="15.75" x14ac:dyDescent="0.25">
      <c r="A55" s="84" t="s">
        <v>224</v>
      </c>
      <c r="B55" s="72"/>
      <c r="C55" s="177">
        <v>0.11</v>
      </c>
      <c r="D55" s="73">
        <v>72.5</v>
      </c>
      <c r="E55" s="74">
        <v>305</v>
      </c>
      <c r="F55" s="34">
        <f>E5</f>
        <v>400</v>
      </c>
      <c r="G55" s="55">
        <f>AB61</f>
        <v>24.32375</v>
      </c>
      <c r="H55" s="182">
        <f>AC56</f>
        <v>2.977203182374541E-2</v>
      </c>
      <c r="I55" s="56">
        <f>AB69</f>
        <v>9729.5</v>
      </c>
      <c r="J55" s="1"/>
      <c r="K55" s="1"/>
      <c r="L55" s="1"/>
      <c r="M55" s="1"/>
      <c r="AB55" s="2">
        <f>G49*E5</f>
        <v>0</v>
      </c>
      <c r="AC55" s="2">
        <f t="shared" si="9"/>
        <v>0</v>
      </c>
    </row>
    <row r="56" spans="1:29" ht="15.75" x14ac:dyDescent="0.25">
      <c r="A56" s="84" t="s">
        <v>225</v>
      </c>
      <c r="B56" s="72"/>
      <c r="C56" s="177">
        <v>0.11</v>
      </c>
      <c r="D56" s="73">
        <v>72.5</v>
      </c>
      <c r="E56" s="74">
        <v>305</v>
      </c>
      <c r="F56" s="34">
        <f>E5</f>
        <v>400</v>
      </c>
      <c r="G56" s="55">
        <f>AB70</f>
        <v>24.32375</v>
      </c>
      <c r="H56" s="182">
        <f>AC50</f>
        <v>2.977203182374541E-2</v>
      </c>
      <c r="I56" s="56">
        <f>AB71</f>
        <v>9729.5</v>
      </c>
      <c r="J56" s="9"/>
      <c r="K56" s="1"/>
      <c r="L56" s="1"/>
      <c r="M56" s="1"/>
      <c r="AB56" s="2">
        <f>C50*D50/100*E50*F50/$E$5</f>
        <v>0</v>
      </c>
      <c r="AC56" s="2">
        <f t="shared" si="9"/>
        <v>2.977203182374541E-2</v>
      </c>
    </row>
    <row r="57" spans="1:29" ht="15.75" x14ac:dyDescent="0.25">
      <c r="A57" s="30"/>
      <c r="B57" s="26"/>
      <c r="C57" s="40"/>
      <c r="D57" s="40"/>
      <c r="E57" s="31"/>
      <c r="F57" s="26"/>
      <c r="G57" s="40"/>
      <c r="H57" s="183"/>
      <c r="I57" s="46"/>
      <c r="J57" s="9"/>
      <c r="K57" s="1"/>
      <c r="L57" s="1"/>
      <c r="M57" s="1"/>
      <c r="AB57" s="2">
        <f t="shared" ref="AB57:AB62" si="10">C51*D51/100*E51*F51/$E$5</f>
        <v>0</v>
      </c>
    </row>
    <row r="58" spans="1:29" ht="15.75" hidden="1" x14ac:dyDescent="0.25">
      <c r="A58" s="75"/>
      <c r="B58" s="26"/>
      <c r="C58" s="26"/>
      <c r="D58" s="26"/>
      <c r="E58" s="26"/>
      <c r="F58" s="26"/>
      <c r="G58" s="26"/>
      <c r="H58" s="184"/>
      <c r="I58" s="33"/>
      <c r="J58" s="1"/>
      <c r="K58" s="1"/>
      <c r="L58" s="1"/>
      <c r="M58" s="1"/>
      <c r="AB58" s="2">
        <f t="shared" si="10"/>
        <v>0</v>
      </c>
    </row>
    <row r="59" spans="1:29" ht="15.75" hidden="1" x14ac:dyDescent="0.25">
      <c r="A59" s="30" t="s">
        <v>47</v>
      </c>
      <c r="B59" s="26"/>
      <c r="C59" s="31"/>
      <c r="D59" s="40"/>
      <c r="E59" s="40"/>
      <c r="F59" s="26"/>
      <c r="G59" s="26"/>
      <c r="H59" s="184"/>
      <c r="I59" s="35"/>
      <c r="J59" s="9"/>
      <c r="K59" s="1"/>
      <c r="L59" s="1"/>
      <c r="M59" s="1"/>
      <c r="AB59" s="2">
        <f t="shared" si="10"/>
        <v>0</v>
      </c>
    </row>
    <row r="60" spans="1:29" ht="15.75" hidden="1" x14ac:dyDescent="0.25">
      <c r="A60" s="30" t="s">
        <v>48</v>
      </c>
      <c r="B60" s="26"/>
      <c r="C60" s="31"/>
      <c r="D60" s="34">
        <f>E5</f>
        <v>400</v>
      </c>
      <c r="E60" s="38" t="s">
        <v>49</v>
      </c>
      <c r="F60" s="76"/>
      <c r="G60" s="55">
        <f ca="1">AB72</f>
        <v>0</v>
      </c>
      <c r="H60" s="182"/>
      <c r="I60" s="56">
        <f ca="1">AB73</f>
        <v>0</v>
      </c>
      <c r="J60" s="9"/>
      <c r="L60" s="1"/>
      <c r="M60" s="1"/>
      <c r="AB60" s="2">
        <f t="shared" si="10"/>
        <v>0</v>
      </c>
    </row>
    <row r="61" spans="1:29" ht="15.75" hidden="1" x14ac:dyDescent="0.25">
      <c r="A61" s="30"/>
      <c r="B61" s="26"/>
      <c r="C61" s="31"/>
      <c r="D61" s="70"/>
      <c r="E61" s="77"/>
      <c r="F61" s="76"/>
      <c r="G61" s="77"/>
      <c r="H61" s="185"/>
      <c r="I61" s="71"/>
      <c r="J61" s="11"/>
      <c r="L61" s="1"/>
      <c r="M61" s="1"/>
      <c r="AB61" s="2">
        <f>C55*D55/100*E55*F55/$E$5</f>
        <v>24.32375</v>
      </c>
    </row>
    <row r="62" spans="1:29" ht="15.75" x14ac:dyDescent="0.25">
      <c r="A62" s="30"/>
      <c r="B62" s="26"/>
      <c r="C62" s="63" t="s">
        <v>136</v>
      </c>
      <c r="D62" s="38" t="s">
        <v>134</v>
      </c>
      <c r="E62" s="38" t="s">
        <v>135</v>
      </c>
      <c r="F62" s="38"/>
      <c r="G62" s="77"/>
      <c r="H62" s="185"/>
      <c r="I62" s="71" t="s">
        <v>27</v>
      </c>
      <c r="J62" s="11"/>
      <c r="L62" s="1"/>
      <c r="M62" s="1"/>
      <c r="AB62" s="2">
        <f t="shared" si="10"/>
        <v>24.32375</v>
      </c>
    </row>
    <row r="63" spans="1:29" ht="15.75" x14ac:dyDescent="0.25">
      <c r="A63" s="41"/>
      <c r="B63" s="26"/>
      <c r="C63" s="31" t="s">
        <v>130</v>
      </c>
      <c r="D63" s="31" t="s">
        <v>133</v>
      </c>
      <c r="E63" s="38" t="s">
        <v>131</v>
      </c>
      <c r="F63" s="38" t="s">
        <v>132</v>
      </c>
      <c r="G63" s="38" t="s">
        <v>42</v>
      </c>
      <c r="H63" s="182"/>
      <c r="I63" s="71" t="str">
        <f>AB75</f>
        <v xml:space="preserve"> 400 Does</v>
      </c>
      <c r="J63" s="11"/>
      <c r="L63" s="1"/>
      <c r="M63" s="1"/>
      <c r="AB63" s="2">
        <f>G49*$E$5</f>
        <v>0</v>
      </c>
    </row>
    <row r="64" spans="1:29" ht="15.75" x14ac:dyDescent="0.25">
      <c r="A64" s="41"/>
      <c r="B64" s="26"/>
      <c r="C64" s="38" t="s">
        <v>44</v>
      </c>
      <c r="D64" s="38" t="s">
        <v>44</v>
      </c>
      <c r="E64" s="38" t="s">
        <v>44</v>
      </c>
      <c r="F64" s="38" t="s">
        <v>44</v>
      </c>
      <c r="G64" s="38" t="s">
        <v>45</v>
      </c>
      <c r="H64" s="182"/>
      <c r="I64" s="71" t="s">
        <v>46</v>
      </c>
      <c r="J64" s="1"/>
      <c r="L64" s="1"/>
      <c r="M64" s="1"/>
      <c r="AB64" s="2">
        <f>G50*$E$5</f>
        <v>0</v>
      </c>
    </row>
    <row r="65" spans="1:29" ht="15.75" x14ac:dyDescent="0.25">
      <c r="A65" s="30" t="s">
        <v>139</v>
      </c>
      <c r="B65" s="27"/>
      <c r="C65" s="31" t="s">
        <v>130</v>
      </c>
      <c r="D65" s="31" t="s">
        <v>133</v>
      </c>
      <c r="E65" s="38" t="s">
        <v>131</v>
      </c>
      <c r="F65" s="38" t="s">
        <v>132</v>
      </c>
      <c r="G65" s="40"/>
      <c r="H65" s="183"/>
      <c r="I65" s="35"/>
      <c r="J65" s="9"/>
      <c r="K65" s="1"/>
      <c r="L65" s="1"/>
      <c r="M65" s="1"/>
      <c r="AB65" s="2">
        <f t="shared" ref="AB65:AB69" si="11">G51*$E$5</f>
        <v>0</v>
      </c>
    </row>
    <row r="66" spans="1:29" ht="15.75" x14ac:dyDescent="0.25">
      <c r="A66" s="84" t="s">
        <v>137</v>
      </c>
      <c r="B66" s="72"/>
      <c r="C66" s="177">
        <v>0.75</v>
      </c>
      <c r="D66" s="73">
        <v>9</v>
      </c>
      <c r="E66" s="74">
        <v>90</v>
      </c>
      <c r="F66" s="34">
        <f>$F$20-$E$31</f>
        <v>140</v>
      </c>
      <c r="G66" s="55">
        <f>AB76</f>
        <v>2.1262500000000002</v>
      </c>
      <c r="H66" s="182">
        <f t="shared" ref="H66:H72" si="12">AC74</f>
        <v>2.6025091799265609E-3</v>
      </c>
      <c r="I66" s="56">
        <f>AB77</f>
        <v>850.50000000000011</v>
      </c>
      <c r="J66" s="1"/>
      <c r="K66" s="1"/>
      <c r="L66" s="1"/>
      <c r="M66" s="1"/>
      <c r="AB66" s="2">
        <f t="shared" si="11"/>
        <v>0</v>
      </c>
    </row>
    <row r="67" spans="1:29" ht="15.75" x14ac:dyDescent="0.25">
      <c r="A67" s="84" t="s">
        <v>138</v>
      </c>
      <c r="B67" s="72"/>
      <c r="C67" s="177">
        <v>1</v>
      </c>
      <c r="D67" s="73">
        <v>8.1999999999999993</v>
      </c>
      <c r="E67" s="74">
        <v>120</v>
      </c>
      <c r="F67" s="34">
        <f t="shared" ref="F67:F72" si="13">$F$20-$E$31</f>
        <v>140</v>
      </c>
      <c r="G67" s="55">
        <f>AB78</f>
        <v>3.4439999999999991</v>
      </c>
      <c r="H67" s="182">
        <f t="shared" si="12"/>
        <v>4.2154222766217862E-3</v>
      </c>
      <c r="I67" s="56">
        <f>AB79</f>
        <v>1377.5999999999997</v>
      </c>
      <c r="J67" s="1"/>
      <c r="K67" s="1"/>
      <c r="L67" s="1"/>
      <c r="M67" s="1"/>
      <c r="AB67" s="2">
        <f t="shared" si="11"/>
        <v>0</v>
      </c>
    </row>
    <row r="68" spans="1:29" ht="15.75" x14ac:dyDescent="0.25">
      <c r="A68" s="84" t="s">
        <v>226</v>
      </c>
      <c r="B68" s="72"/>
      <c r="C68" s="177">
        <v>0.51</v>
      </c>
      <c r="D68" s="73">
        <v>163</v>
      </c>
      <c r="E68" s="74">
        <v>90</v>
      </c>
      <c r="F68" s="34">
        <f t="shared" si="13"/>
        <v>140</v>
      </c>
      <c r="G68" s="55">
        <f>AB80</f>
        <v>26.185949999999998</v>
      </c>
      <c r="H68" s="182">
        <f t="shared" si="12"/>
        <v>3.2051346389228887E-2</v>
      </c>
      <c r="I68" s="56">
        <f>AB81</f>
        <v>10474.379999999999</v>
      </c>
      <c r="J68" s="1"/>
      <c r="K68" s="1"/>
      <c r="L68" s="1"/>
      <c r="M68" s="1"/>
      <c r="AB68" s="2">
        <f t="shared" si="11"/>
        <v>0</v>
      </c>
    </row>
    <row r="69" spans="1:29" ht="15.75" x14ac:dyDescent="0.25">
      <c r="A69" s="84" t="s">
        <v>140</v>
      </c>
      <c r="B69" s="72"/>
      <c r="C69" s="177">
        <v>1</v>
      </c>
      <c r="D69" s="73">
        <v>5</v>
      </c>
      <c r="E69" s="74">
        <v>120</v>
      </c>
      <c r="F69" s="34">
        <f t="shared" si="13"/>
        <v>140</v>
      </c>
      <c r="G69" s="55">
        <f>AB82</f>
        <v>2.1</v>
      </c>
      <c r="H69" s="182">
        <f t="shared" si="12"/>
        <v>2.5703794369645043E-3</v>
      </c>
      <c r="I69" s="56">
        <f>AB83</f>
        <v>840</v>
      </c>
      <c r="J69" s="1"/>
      <c r="L69" s="1"/>
      <c r="M69" s="1"/>
      <c r="AB69" s="2">
        <f t="shared" si="11"/>
        <v>9729.5</v>
      </c>
    </row>
    <row r="70" spans="1:29" ht="15.75" x14ac:dyDescent="0.25">
      <c r="A70" s="84" t="s">
        <v>141</v>
      </c>
      <c r="B70" s="72"/>
      <c r="C70" s="177">
        <v>0</v>
      </c>
      <c r="D70" s="73">
        <v>0</v>
      </c>
      <c r="E70" s="74">
        <v>0</v>
      </c>
      <c r="F70" s="34">
        <f t="shared" si="13"/>
        <v>140</v>
      </c>
      <c r="G70" s="55">
        <f>AB84</f>
        <v>0</v>
      </c>
      <c r="H70" s="182">
        <f t="shared" si="12"/>
        <v>0</v>
      </c>
      <c r="I70" s="56">
        <f>AB85</f>
        <v>0</v>
      </c>
      <c r="J70" s="1"/>
      <c r="L70" s="1"/>
      <c r="M70" s="1"/>
      <c r="AB70" s="2">
        <f>C56*D56/100*E56*F56/E5</f>
        <v>24.32375</v>
      </c>
    </row>
    <row r="71" spans="1:29" ht="15.75" x14ac:dyDescent="0.25">
      <c r="A71" s="84" t="s">
        <v>234</v>
      </c>
      <c r="B71" s="176"/>
      <c r="C71" s="177">
        <v>0</v>
      </c>
      <c r="D71" s="73">
        <v>0</v>
      </c>
      <c r="E71" s="74">
        <v>0</v>
      </c>
      <c r="F71" s="34">
        <f t="shared" si="13"/>
        <v>140</v>
      </c>
      <c r="G71" s="178">
        <f>AB126</f>
        <v>0</v>
      </c>
      <c r="H71" s="186">
        <f t="shared" si="12"/>
        <v>0</v>
      </c>
      <c r="I71" s="179">
        <f>AB127</f>
        <v>0</v>
      </c>
      <c r="J71" s="9"/>
      <c r="K71" s="1"/>
      <c r="L71" s="1"/>
      <c r="M71" s="1"/>
      <c r="AB71" s="2">
        <f>G56*E5</f>
        <v>9729.5</v>
      </c>
    </row>
    <row r="72" spans="1:29" ht="15.75" x14ac:dyDescent="0.25">
      <c r="A72" s="84" t="s">
        <v>234</v>
      </c>
      <c r="B72" s="176"/>
      <c r="C72" s="177">
        <v>0</v>
      </c>
      <c r="D72" s="73">
        <v>0</v>
      </c>
      <c r="E72" s="74">
        <v>0</v>
      </c>
      <c r="F72" s="34">
        <f t="shared" si="13"/>
        <v>140</v>
      </c>
      <c r="G72" s="178">
        <f>AB128</f>
        <v>0</v>
      </c>
      <c r="H72" s="186">
        <f t="shared" si="12"/>
        <v>0</v>
      </c>
      <c r="I72" s="179">
        <f>AB129</f>
        <v>0</v>
      </c>
      <c r="J72" s="9"/>
      <c r="K72" s="1"/>
      <c r="L72" s="5"/>
      <c r="M72" s="1"/>
      <c r="AB72" s="2">
        <f ca="1">IF(L21=0,0,HLOOKUP(A2,INDIRECT(L21),12,FALSE)/D60)</f>
        <v>0</v>
      </c>
    </row>
    <row r="73" spans="1:29" ht="15.75" x14ac:dyDescent="0.25">
      <c r="A73" s="78"/>
      <c r="B73" s="79"/>
      <c r="C73" s="80"/>
      <c r="D73" s="81"/>
      <c r="E73" s="82"/>
      <c r="F73" s="43"/>
      <c r="G73" s="55"/>
      <c r="H73" s="182"/>
      <c r="I73" s="56"/>
      <c r="J73" s="9"/>
      <c r="K73" s="1"/>
      <c r="L73" s="5"/>
      <c r="M73" s="1"/>
      <c r="AB73" s="2">
        <f ca="1">G60*E5</f>
        <v>0</v>
      </c>
    </row>
    <row r="74" spans="1:29" ht="15.75" x14ac:dyDescent="0.25">
      <c r="A74" s="30" t="s">
        <v>142</v>
      </c>
      <c r="B74" s="27"/>
      <c r="C74" s="31" t="s">
        <v>130</v>
      </c>
      <c r="D74" s="31" t="s">
        <v>133</v>
      </c>
      <c r="E74" s="38" t="s">
        <v>131</v>
      </c>
      <c r="F74" s="38" t="s">
        <v>132</v>
      </c>
      <c r="G74" s="40"/>
      <c r="H74" s="183"/>
      <c r="I74" s="35"/>
      <c r="J74" s="9"/>
      <c r="K74" s="1"/>
      <c r="L74" s="5"/>
      <c r="M74" s="1"/>
      <c r="AB74" s="2" t="str">
        <f>""&amp;FIXED(F37,0,TRUE)&amp;" Does"</f>
        <v>400 Does</v>
      </c>
      <c r="AC74" s="2">
        <f t="shared" ref="AC74:AC80" si="14">I66/$E$32</f>
        <v>2.6025091799265609E-3</v>
      </c>
    </row>
    <row r="75" spans="1:29" ht="15.75" x14ac:dyDescent="0.25">
      <c r="A75" s="84" t="s">
        <v>213</v>
      </c>
      <c r="B75" s="72"/>
      <c r="C75" s="177">
        <v>0.5</v>
      </c>
      <c r="D75" s="73">
        <v>1.6</v>
      </c>
      <c r="E75" s="74">
        <v>155</v>
      </c>
      <c r="F75" s="34">
        <f t="shared" ref="F75:F86" si="15">$E$11</f>
        <v>140</v>
      </c>
      <c r="G75" s="55">
        <f>AB86</f>
        <v>0.434</v>
      </c>
      <c r="H75" s="182">
        <f>AC83</f>
        <v>5.3121175030599753E-4</v>
      </c>
      <c r="I75" s="56">
        <f>AB87</f>
        <v>173.6</v>
      </c>
      <c r="J75" s="1"/>
      <c r="K75" s="1"/>
      <c r="L75" s="5"/>
      <c r="M75" s="1"/>
      <c r="AB75" s="2" t="str">
        <f>" "&amp;FIXED(E5,0,TRUE)&amp;" Does"</f>
        <v xml:space="preserve"> 400 Does</v>
      </c>
      <c r="AC75" s="2">
        <f t="shared" si="14"/>
        <v>4.2154222766217862E-3</v>
      </c>
    </row>
    <row r="76" spans="1:29" ht="15.75" x14ac:dyDescent="0.25">
      <c r="A76" s="84" t="s">
        <v>227</v>
      </c>
      <c r="B76" s="72"/>
      <c r="C76" s="177">
        <v>0.75</v>
      </c>
      <c r="D76" s="73">
        <v>8.1999999999999993</v>
      </c>
      <c r="E76" s="74">
        <v>155</v>
      </c>
      <c r="F76" s="34">
        <f t="shared" si="15"/>
        <v>140</v>
      </c>
      <c r="G76" s="55">
        <f>AB88</f>
        <v>3.3363749999999994</v>
      </c>
      <c r="H76" s="182">
        <f>AC99</f>
        <v>4.0836903304773556E-3</v>
      </c>
      <c r="I76" s="56">
        <f>AB99</f>
        <v>1334.5499999999997</v>
      </c>
      <c r="J76" s="12"/>
      <c r="K76" s="1"/>
      <c r="L76" s="5"/>
      <c r="M76" s="1"/>
      <c r="AB76" s="2">
        <f>C66*D66/100*E66*F66/E5</f>
        <v>2.1262500000000002</v>
      </c>
      <c r="AC76" s="2">
        <f t="shared" si="14"/>
        <v>3.2051346389228887E-2</v>
      </c>
    </row>
    <row r="77" spans="1:29" ht="15.75" x14ac:dyDescent="0.25">
      <c r="A77" s="84" t="s">
        <v>219</v>
      </c>
      <c r="B77" s="72"/>
      <c r="C77" s="177">
        <v>0</v>
      </c>
      <c r="D77" s="73">
        <v>9</v>
      </c>
      <c r="E77" s="74">
        <v>155</v>
      </c>
      <c r="F77" s="34">
        <f t="shared" si="15"/>
        <v>140</v>
      </c>
      <c r="G77" s="55">
        <f t="shared" ref="G77:G86" si="16">AB89</f>
        <v>0</v>
      </c>
      <c r="H77" s="182">
        <f t="shared" ref="H77:H86" si="17">AC100</f>
        <v>0</v>
      </c>
      <c r="I77" s="56">
        <f t="shared" ref="I77:I86" si="18">AB100</f>
        <v>0</v>
      </c>
      <c r="J77" s="1"/>
      <c r="K77" s="1"/>
      <c r="L77" s="1"/>
      <c r="M77" s="1"/>
      <c r="AB77" s="2">
        <f>G66*E5</f>
        <v>850.50000000000011</v>
      </c>
      <c r="AC77" s="2">
        <f t="shared" si="14"/>
        <v>2.5703794369645043E-3</v>
      </c>
    </row>
    <row r="78" spans="1:29" ht="15.75" x14ac:dyDescent="0.25">
      <c r="A78" s="84" t="s">
        <v>214</v>
      </c>
      <c r="B78" s="72"/>
      <c r="C78" s="177">
        <v>0.5</v>
      </c>
      <c r="D78" s="73">
        <v>4.5</v>
      </c>
      <c r="E78" s="74">
        <v>155</v>
      </c>
      <c r="F78" s="34">
        <f t="shared" si="15"/>
        <v>140</v>
      </c>
      <c r="G78" s="55">
        <f t="shared" si="16"/>
        <v>1.2206250000000001</v>
      </c>
      <c r="H78" s="182">
        <f t="shared" si="17"/>
        <v>1.4940330477356181E-3</v>
      </c>
      <c r="I78" s="56">
        <f t="shared" si="18"/>
        <v>488.25</v>
      </c>
      <c r="J78" s="1"/>
      <c r="K78" s="1"/>
      <c r="L78" s="1"/>
      <c r="M78" s="1"/>
      <c r="AB78" s="2">
        <f>C67*D67/100*E67*F67/E5</f>
        <v>3.4439999999999991</v>
      </c>
      <c r="AC78" s="2">
        <f t="shared" si="14"/>
        <v>0</v>
      </c>
    </row>
    <row r="79" spans="1:29" ht="15.75" x14ac:dyDescent="0.25">
      <c r="A79" s="84" t="s">
        <v>217</v>
      </c>
      <c r="B79" s="72"/>
      <c r="C79" s="177">
        <v>0</v>
      </c>
      <c r="D79" s="73">
        <v>8.1999999999999993</v>
      </c>
      <c r="E79" s="74">
        <v>155</v>
      </c>
      <c r="F79" s="34">
        <f t="shared" si="15"/>
        <v>140</v>
      </c>
      <c r="G79" s="55">
        <f t="shared" si="16"/>
        <v>0</v>
      </c>
      <c r="H79" s="182">
        <f t="shared" si="17"/>
        <v>0</v>
      </c>
      <c r="I79" s="56">
        <f t="shared" si="18"/>
        <v>0</v>
      </c>
      <c r="J79" s="5"/>
      <c r="K79" s="5"/>
      <c r="L79" s="1"/>
      <c r="M79" s="1"/>
      <c r="AB79" s="2">
        <f>G67*E5</f>
        <v>1377.5999999999997</v>
      </c>
      <c r="AC79" s="2">
        <f t="shared" si="14"/>
        <v>0</v>
      </c>
    </row>
    <row r="80" spans="1:29" ht="15.75" x14ac:dyDescent="0.25">
      <c r="A80" s="84" t="s">
        <v>220</v>
      </c>
      <c r="B80" s="72"/>
      <c r="C80" s="177">
        <v>0</v>
      </c>
      <c r="D80" s="73">
        <v>0</v>
      </c>
      <c r="E80" s="74">
        <v>155</v>
      </c>
      <c r="F80" s="34">
        <f t="shared" si="15"/>
        <v>140</v>
      </c>
      <c r="G80" s="55">
        <f t="shared" si="16"/>
        <v>0</v>
      </c>
      <c r="H80" s="182">
        <f t="shared" si="17"/>
        <v>0</v>
      </c>
      <c r="I80" s="56">
        <f t="shared" si="18"/>
        <v>0</v>
      </c>
      <c r="J80" s="1"/>
      <c r="K80" s="1"/>
      <c r="L80" s="1"/>
      <c r="M80" s="1"/>
      <c r="AB80" s="2">
        <f>C68*D68/100*E68*F68/E5</f>
        <v>26.185949999999998</v>
      </c>
      <c r="AC80" s="2">
        <f t="shared" si="14"/>
        <v>0</v>
      </c>
    </row>
    <row r="81" spans="1:29" ht="15.75" x14ac:dyDescent="0.25">
      <c r="A81" s="84" t="s">
        <v>215</v>
      </c>
      <c r="B81" s="72"/>
      <c r="C81" s="177">
        <v>0.25</v>
      </c>
      <c r="D81" s="73">
        <v>23</v>
      </c>
      <c r="E81" s="74">
        <v>155</v>
      </c>
      <c r="F81" s="34">
        <f t="shared" si="15"/>
        <v>140</v>
      </c>
      <c r="G81" s="55">
        <f t="shared" si="16"/>
        <v>3.1193749999999998</v>
      </c>
      <c r="H81" s="182">
        <f t="shared" si="17"/>
        <v>3.8180844553243574E-3</v>
      </c>
      <c r="I81" s="56">
        <f t="shared" si="18"/>
        <v>1247.75</v>
      </c>
      <c r="J81" s="9"/>
      <c r="K81" s="1"/>
      <c r="L81" s="1"/>
      <c r="M81" s="1"/>
      <c r="AB81" s="2">
        <f>G68*E5</f>
        <v>10474.379999999999</v>
      </c>
    </row>
    <row r="82" spans="1:29" ht="15.75" x14ac:dyDescent="0.25">
      <c r="A82" s="84" t="s">
        <v>218</v>
      </c>
      <c r="B82" s="72"/>
      <c r="C82" s="177">
        <v>0</v>
      </c>
      <c r="D82" s="73">
        <v>0</v>
      </c>
      <c r="E82" s="74">
        <v>155</v>
      </c>
      <c r="F82" s="34">
        <f t="shared" si="15"/>
        <v>140</v>
      </c>
      <c r="G82" s="55">
        <f t="shared" si="16"/>
        <v>0</v>
      </c>
      <c r="H82" s="182">
        <f t="shared" si="17"/>
        <v>0</v>
      </c>
      <c r="I82" s="56">
        <f t="shared" si="18"/>
        <v>0</v>
      </c>
      <c r="J82" s="9"/>
      <c r="K82" s="1"/>
      <c r="L82" s="1"/>
      <c r="M82" s="1"/>
      <c r="AB82" s="2">
        <f>C69*D69/100*E69*F69/E5</f>
        <v>2.1</v>
      </c>
    </row>
    <row r="83" spans="1:29" ht="15.75" x14ac:dyDescent="0.25">
      <c r="A83" s="84" t="s">
        <v>222</v>
      </c>
      <c r="B83" s="72"/>
      <c r="C83" s="177">
        <v>0</v>
      </c>
      <c r="D83" s="73">
        <v>0</v>
      </c>
      <c r="E83" s="74">
        <v>155</v>
      </c>
      <c r="F83" s="34">
        <f t="shared" si="15"/>
        <v>140</v>
      </c>
      <c r="G83" s="55">
        <f t="shared" si="16"/>
        <v>0</v>
      </c>
      <c r="H83" s="182">
        <f t="shared" si="17"/>
        <v>0</v>
      </c>
      <c r="I83" s="56">
        <f t="shared" si="18"/>
        <v>0</v>
      </c>
      <c r="J83" s="1"/>
      <c r="K83" s="1"/>
      <c r="L83" s="1"/>
      <c r="M83" s="1"/>
      <c r="AB83" s="2">
        <f>G69*E5</f>
        <v>840</v>
      </c>
      <c r="AC83" s="2">
        <f>I75/$E$32</f>
        <v>5.3121175030599753E-4</v>
      </c>
    </row>
    <row r="84" spans="1:29" ht="15.75" x14ac:dyDescent="0.25">
      <c r="A84" s="84" t="s">
        <v>224</v>
      </c>
      <c r="B84" s="72"/>
      <c r="C84" s="177">
        <v>3.5000000000000003E-2</v>
      </c>
      <c r="D84" s="73">
        <v>72.5</v>
      </c>
      <c r="E84" s="74">
        <v>155</v>
      </c>
      <c r="F84" s="34">
        <f t="shared" si="15"/>
        <v>140</v>
      </c>
      <c r="G84" s="55">
        <f t="shared" si="16"/>
        <v>1.3765937500000001</v>
      </c>
      <c r="H84" s="182">
        <f t="shared" si="17"/>
        <v>1.6849372705018361E-3</v>
      </c>
      <c r="I84" s="56">
        <f t="shared" si="18"/>
        <v>550.63750000000005</v>
      </c>
      <c r="J84" s="9"/>
      <c r="K84" s="1"/>
      <c r="L84" s="1"/>
      <c r="M84" s="1"/>
      <c r="AB84" s="2">
        <f>C70*D70/100*E70*F70/E5</f>
        <v>0</v>
      </c>
      <c r="AC84" s="2">
        <f>I87/$E$32</f>
        <v>0</v>
      </c>
    </row>
    <row r="85" spans="1:29" ht="15.75" x14ac:dyDescent="0.25">
      <c r="A85" s="84" t="s">
        <v>225</v>
      </c>
      <c r="B85" s="72"/>
      <c r="C85" s="177">
        <v>3.5000000000000003E-2</v>
      </c>
      <c r="D85" s="73">
        <v>72.5</v>
      </c>
      <c r="E85" s="74">
        <v>155</v>
      </c>
      <c r="F85" s="34">
        <f t="shared" si="15"/>
        <v>140</v>
      </c>
      <c r="G85" s="55">
        <f t="shared" si="16"/>
        <v>1.3765937500000001</v>
      </c>
      <c r="H85" s="182">
        <f t="shared" si="17"/>
        <v>1.6849372705018361E-3</v>
      </c>
      <c r="I85" s="56">
        <f t="shared" si="18"/>
        <v>550.63750000000005</v>
      </c>
      <c r="J85" s="9"/>
      <c r="K85" s="1"/>
      <c r="L85" s="1"/>
      <c r="M85" s="1"/>
      <c r="AB85" s="2">
        <f>G70*E5</f>
        <v>0</v>
      </c>
    </row>
    <row r="86" spans="1:29" ht="15.75" x14ac:dyDescent="0.25">
      <c r="A86" s="84" t="s">
        <v>228</v>
      </c>
      <c r="B86" s="72"/>
      <c r="C86" s="177">
        <v>0.5</v>
      </c>
      <c r="D86" s="73">
        <v>9.8000000000000007</v>
      </c>
      <c r="E86" s="74">
        <v>155</v>
      </c>
      <c r="F86" s="34">
        <f t="shared" si="15"/>
        <v>140</v>
      </c>
      <c r="G86" s="55">
        <f t="shared" si="16"/>
        <v>2.6582500000000007</v>
      </c>
      <c r="H86" s="182">
        <f t="shared" si="17"/>
        <v>3.2536719706242356E-3</v>
      </c>
      <c r="I86" s="56">
        <f t="shared" si="18"/>
        <v>1063.3000000000002</v>
      </c>
      <c r="J86" s="1"/>
      <c r="K86" s="1"/>
      <c r="L86" s="1"/>
      <c r="M86" s="1"/>
      <c r="AB86" s="2">
        <f>C75*D75/100*E75*F75/E5</f>
        <v>0.434</v>
      </c>
      <c r="AC86" s="2">
        <f ca="1">I105/$E$32</f>
        <v>0.39464481334149326</v>
      </c>
    </row>
    <row r="87" spans="1:29" ht="15.75" x14ac:dyDescent="0.25">
      <c r="A87" s="84" t="s">
        <v>223</v>
      </c>
      <c r="B87" s="72"/>
      <c r="C87" s="177">
        <v>0</v>
      </c>
      <c r="D87" s="73">
        <v>0</v>
      </c>
      <c r="E87" s="74">
        <v>155</v>
      </c>
      <c r="F87" s="34">
        <f>$E$11</f>
        <v>140</v>
      </c>
      <c r="G87" s="55">
        <f>AB110</f>
        <v>0</v>
      </c>
      <c r="H87" s="182">
        <f>AC84</f>
        <v>0</v>
      </c>
      <c r="I87" s="56">
        <f>AB111</f>
        <v>0</v>
      </c>
      <c r="J87" s="9"/>
      <c r="K87" s="1"/>
      <c r="L87" s="5"/>
      <c r="M87" s="1"/>
      <c r="AB87" s="2">
        <f>G75*E5</f>
        <v>173.6</v>
      </c>
    </row>
    <row r="88" spans="1:29" ht="15.75" x14ac:dyDescent="0.25">
      <c r="A88" s="78"/>
      <c r="B88" s="79"/>
      <c r="C88" s="80"/>
      <c r="D88" s="81"/>
      <c r="E88" s="82"/>
      <c r="F88" s="43"/>
      <c r="G88" s="55"/>
      <c r="H88" s="182"/>
      <c r="I88" s="56"/>
      <c r="J88" s="9"/>
      <c r="K88" s="1"/>
      <c r="L88" s="5"/>
      <c r="M88" s="1"/>
      <c r="AB88" s="2">
        <f>C76*D76/100*E76*F76/$E$5</f>
        <v>3.3363749999999994</v>
      </c>
    </row>
    <row r="89" spans="1:29" ht="15.75" x14ac:dyDescent="0.25">
      <c r="A89" s="30" t="s">
        <v>233</v>
      </c>
      <c r="B89" s="27"/>
      <c r="C89" s="31" t="s">
        <v>130</v>
      </c>
      <c r="D89" s="31" t="s">
        <v>133</v>
      </c>
      <c r="E89" s="38" t="s">
        <v>131</v>
      </c>
      <c r="F89" s="38" t="s">
        <v>132</v>
      </c>
      <c r="G89" s="40"/>
      <c r="H89" s="183"/>
      <c r="I89" s="35"/>
      <c r="J89" s="9"/>
      <c r="K89" s="1"/>
      <c r="L89" s="5"/>
      <c r="M89" s="1"/>
      <c r="AB89" s="2">
        <f t="shared" ref="AB89:AB98" si="19">C77*D77/100*E77*F77/$E$5</f>
        <v>0</v>
      </c>
    </row>
    <row r="90" spans="1:29" ht="15.75" x14ac:dyDescent="0.25">
      <c r="A90" s="84" t="s">
        <v>213</v>
      </c>
      <c r="B90" s="72"/>
      <c r="C90" s="177">
        <v>3</v>
      </c>
      <c r="D90" s="73">
        <v>1.6</v>
      </c>
      <c r="E90" s="74">
        <v>60</v>
      </c>
      <c r="F90" s="34">
        <f>$E$5*0.04</f>
        <v>16</v>
      </c>
      <c r="G90" s="55">
        <f>AB112</f>
        <v>0.11520000000000001</v>
      </c>
      <c r="H90" s="182">
        <f t="shared" ref="H90:I90" si="20">AC112</f>
        <v>1.4100367197062425E-4</v>
      </c>
      <c r="I90" s="56">
        <f t="shared" si="20"/>
        <v>46.080000000000005</v>
      </c>
      <c r="J90" s="9"/>
      <c r="K90" s="10"/>
      <c r="L90" s="1"/>
      <c r="M90" s="1"/>
      <c r="AB90" s="2">
        <f t="shared" si="19"/>
        <v>1.2206250000000001</v>
      </c>
    </row>
    <row r="91" spans="1:29" ht="15.75" x14ac:dyDescent="0.25">
      <c r="A91" s="84" t="s">
        <v>227</v>
      </c>
      <c r="B91" s="72"/>
      <c r="C91" s="177">
        <v>1.25</v>
      </c>
      <c r="D91" s="73">
        <v>8.1999999999999993</v>
      </c>
      <c r="E91" s="74">
        <v>60</v>
      </c>
      <c r="F91" s="34">
        <f t="shared" ref="F91:F103" si="21">$E$5*0.04</f>
        <v>16</v>
      </c>
      <c r="G91" s="55">
        <f t="shared" ref="G91:G103" si="22">AB113</f>
        <v>0.24599999999999997</v>
      </c>
      <c r="H91" s="182">
        <f t="shared" ref="H91:H103" si="23">AC113</f>
        <v>3.0110159118727049E-4</v>
      </c>
      <c r="I91" s="56">
        <f t="shared" ref="I91:I103" si="24">AD113</f>
        <v>98.399999999999991</v>
      </c>
      <c r="J91" s="1"/>
      <c r="K91" s="10"/>
      <c r="L91" s="1"/>
      <c r="M91" s="1"/>
      <c r="AB91" s="2">
        <f t="shared" si="19"/>
        <v>0</v>
      </c>
    </row>
    <row r="92" spans="1:29" ht="15.75" x14ac:dyDescent="0.25">
      <c r="A92" s="84" t="s">
        <v>219</v>
      </c>
      <c r="B92" s="72"/>
      <c r="C92" s="177">
        <v>0</v>
      </c>
      <c r="D92" s="73">
        <v>9</v>
      </c>
      <c r="E92" s="74">
        <v>60</v>
      </c>
      <c r="F92" s="34">
        <f t="shared" si="21"/>
        <v>16</v>
      </c>
      <c r="G92" s="55">
        <f t="shared" si="22"/>
        <v>0</v>
      </c>
      <c r="H92" s="182">
        <f t="shared" si="23"/>
        <v>0</v>
      </c>
      <c r="I92" s="56">
        <f t="shared" si="24"/>
        <v>0</v>
      </c>
      <c r="J92" s="10"/>
      <c r="K92" s="10"/>
      <c r="L92" s="1"/>
      <c r="M92" s="1"/>
      <c r="AB92" s="2">
        <f t="shared" si="19"/>
        <v>0</v>
      </c>
    </row>
    <row r="93" spans="1:29" ht="15.75" x14ac:dyDescent="0.25">
      <c r="A93" s="84" t="s">
        <v>221</v>
      </c>
      <c r="B93" s="72"/>
      <c r="C93" s="177">
        <v>0</v>
      </c>
      <c r="D93" s="73">
        <v>4.5</v>
      </c>
      <c r="E93" s="74">
        <v>60</v>
      </c>
      <c r="F93" s="34">
        <f t="shared" si="21"/>
        <v>16</v>
      </c>
      <c r="G93" s="55">
        <f t="shared" si="22"/>
        <v>0</v>
      </c>
      <c r="H93" s="182">
        <f t="shared" si="23"/>
        <v>0</v>
      </c>
      <c r="I93" s="56">
        <f t="shared" si="24"/>
        <v>0</v>
      </c>
      <c r="J93" s="10"/>
      <c r="K93" s="10"/>
      <c r="L93" s="7" t="s">
        <v>71</v>
      </c>
      <c r="M93" s="1"/>
      <c r="AB93" s="2">
        <f t="shared" si="19"/>
        <v>3.1193749999999998</v>
      </c>
    </row>
    <row r="94" spans="1:29" ht="15.75" x14ac:dyDescent="0.25">
      <c r="A94" s="84" t="s">
        <v>214</v>
      </c>
      <c r="B94" s="72"/>
      <c r="C94" s="177">
        <v>2</v>
      </c>
      <c r="D94" s="73">
        <v>4.5</v>
      </c>
      <c r="E94" s="74">
        <v>60</v>
      </c>
      <c r="F94" s="34">
        <f t="shared" si="21"/>
        <v>16</v>
      </c>
      <c r="G94" s="55">
        <f t="shared" si="22"/>
        <v>0.21599999999999997</v>
      </c>
      <c r="H94" s="182">
        <f t="shared" si="23"/>
        <v>2.643818849449204E-4</v>
      </c>
      <c r="I94" s="56">
        <f t="shared" si="24"/>
        <v>86.399999999999991</v>
      </c>
      <c r="J94" s="10"/>
      <c r="K94" s="10"/>
      <c r="L94" s="7" t="s">
        <v>72</v>
      </c>
      <c r="M94" s="1"/>
      <c r="AB94" s="2">
        <f t="shared" si="19"/>
        <v>0</v>
      </c>
    </row>
    <row r="95" spans="1:29" ht="15.75" x14ac:dyDescent="0.25">
      <c r="A95" s="84" t="s">
        <v>217</v>
      </c>
      <c r="B95" s="72"/>
      <c r="C95" s="177">
        <v>0</v>
      </c>
      <c r="D95" s="73">
        <v>8.1999999999999993</v>
      </c>
      <c r="E95" s="74">
        <v>60</v>
      </c>
      <c r="F95" s="34">
        <f t="shared" si="21"/>
        <v>16</v>
      </c>
      <c r="G95" s="55">
        <f t="shared" si="22"/>
        <v>0</v>
      </c>
      <c r="H95" s="182">
        <f t="shared" si="23"/>
        <v>0</v>
      </c>
      <c r="I95" s="56">
        <f t="shared" si="24"/>
        <v>0</v>
      </c>
      <c r="J95" s="1"/>
      <c r="K95" s="1"/>
      <c r="L95" s="7" t="s">
        <v>73</v>
      </c>
      <c r="M95" s="1"/>
      <c r="AB95" s="2">
        <f t="shared" si="19"/>
        <v>0</v>
      </c>
    </row>
    <row r="96" spans="1:29" ht="15.75" x14ac:dyDescent="0.25">
      <c r="A96" s="84" t="s">
        <v>215</v>
      </c>
      <c r="B96" s="72"/>
      <c r="C96" s="177">
        <v>0.25</v>
      </c>
      <c r="D96" s="73">
        <v>23</v>
      </c>
      <c r="E96" s="74">
        <v>60</v>
      </c>
      <c r="F96" s="34">
        <f t="shared" si="21"/>
        <v>16</v>
      </c>
      <c r="G96" s="55">
        <f t="shared" si="22"/>
        <v>0.13800000000000001</v>
      </c>
      <c r="H96" s="182">
        <f t="shared" si="23"/>
        <v>1.6891064871481028E-4</v>
      </c>
      <c r="I96" s="56">
        <f t="shared" si="24"/>
        <v>55.2</v>
      </c>
      <c r="J96" s="10"/>
      <c r="K96" s="1"/>
      <c r="L96" s="7" t="s">
        <v>75</v>
      </c>
      <c r="M96" s="1"/>
      <c r="AB96" s="2">
        <f t="shared" si="19"/>
        <v>1.3765937500000001</v>
      </c>
    </row>
    <row r="97" spans="1:30" ht="15.75" x14ac:dyDescent="0.25">
      <c r="A97" s="84" t="s">
        <v>220</v>
      </c>
      <c r="B97" s="72"/>
      <c r="C97" s="177">
        <v>0</v>
      </c>
      <c r="D97" s="73">
        <v>0</v>
      </c>
      <c r="E97" s="74">
        <v>60</v>
      </c>
      <c r="F97" s="34">
        <f t="shared" si="21"/>
        <v>16</v>
      </c>
      <c r="G97" s="55">
        <f t="shared" si="22"/>
        <v>0</v>
      </c>
      <c r="H97" s="182">
        <f t="shared" si="23"/>
        <v>0</v>
      </c>
      <c r="I97" s="56">
        <f t="shared" si="24"/>
        <v>0</v>
      </c>
      <c r="J97" s="10"/>
      <c r="K97" s="11"/>
      <c r="L97" s="7" t="s">
        <v>79</v>
      </c>
      <c r="M97" s="1"/>
      <c r="AB97" s="2">
        <f t="shared" si="19"/>
        <v>1.3765937500000001</v>
      </c>
    </row>
    <row r="98" spans="1:30" ht="15.75" x14ac:dyDescent="0.25">
      <c r="A98" s="84" t="s">
        <v>218</v>
      </c>
      <c r="B98" s="72"/>
      <c r="C98" s="177">
        <v>0</v>
      </c>
      <c r="D98" s="73">
        <v>0</v>
      </c>
      <c r="E98" s="74">
        <v>60</v>
      </c>
      <c r="F98" s="34">
        <f t="shared" si="21"/>
        <v>16</v>
      </c>
      <c r="G98" s="55">
        <f t="shared" si="22"/>
        <v>0</v>
      </c>
      <c r="H98" s="182">
        <f t="shared" si="23"/>
        <v>0</v>
      </c>
      <c r="I98" s="56">
        <f t="shared" si="24"/>
        <v>0</v>
      </c>
      <c r="J98" s="10"/>
      <c r="K98" s="1"/>
      <c r="L98" s="1"/>
      <c r="M98" s="1"/>
      <c r="AB98" s="2">
        <f t="shared" si="19"/>
        <v>2.6582500000000007</v>
      </c>
    </row>
    <row r="99" spans="1:30" ht="15.75" x14ac:dyDescent="0.25">
      <c r="A99" s="84" t="s">
        <v>222</v>
      </c>
      <c r="B99" s="72"/>
      <c r="C99" s="177">
        <v>0</v>
      </c>
      <c r="D99" s="73">
        <v>0</v>
      </c>
      <c r="E99" s="74">
        <v>60</v>
      </c>
      <c r="F99" s="34">
        <f t="shared" si="21"/>
        <v>16</v>
      </c>
      <c r="G99" s="55">
        <f t="shared" si="22"/>
        <v>0</v>
      </c>
      <c r="H99" s="182">
        <f t="shared" si="23"/>
        <v>0</v>
      </c>
      <c r="I99" s="56">
        <f t="shared" si="24"/>
        <v>0</v>
      </c>
      <c r="J99" s="1"/>
      <c r="K99" s="1"/>
      <c r="L99" s="1"/>
      <c r="M99" s="1"/>
      <c r="AB99" s="2">
        <f>G76*$E$5</f>
        <v>1334.5499999999997</v>
      </c>
      <c r="AC99" s="2">
        <f>I76/$E$32</f>
        <v>4.0836903304773556E-3</v>
      </c>
    </row>
    <row r="100" spans="1:30" ht="15.75" x14ac:dyDescent="0.25">
      <c r="A100" s="84" t="s">
        <v>229</v>
      </c>
      <c r="B100" s="72"/>
      <c r="C100" s="177">
        <v>0.11</v>
      </c>
      <c r="D100" s="73">
        <v>72.5</v>
      </c>
      <c r="E100" s="74">
        <v>60</v>
      </c>
      <c r="F100" s="34">
        <f t="shared" si="21"/>
        <v>16</v>
      </c>
      <c r="G100" s="55">
        <f t="shared" si="22"/>
        <v>0.19140000000000001</v>
      </c>
      <c r="H100" s="182">
        <f t="shared" si="23"/>
        <v>2.342717258261934E-4</v>
      </c>
      <c r="I100" s="56">
        <f t="shared" si="24"/>
        <v>76.56</v>
      </c>
      <c r="J100" s="1"/>
      <c r="K100" s="1"/>
      <c r="L100" s="7" t="s">
        <v>82</v>
      </c>
      <c r="M100" s="1"/>
      <c r="AB100" s="2">
        <f t="shared" ref="AB100:AB109" si="25">G77*$E$5</f>
        <v>0</v>
      </c>
      <c r="AC100" s="2">
        <f t="shared" ref="AC100:AC109" si="26">I77/$E$32</f>
        <v>0</v>
      </c>
    </row>
    <row r="101" spans="1:30" ht="15.75" x14ac:dyDescent="0.25">
      <c r="A101" s="84" t="s">
        <v>230</v>
      </c>
      <c r="B101" s="72"/>
      <c r="C101" s="177">
        <v>0.11</v>
      </c>
      <c r="D101" s="73">
        <v>72.5</v>
      </c>
      <c r="E101" s="74">
        <v>60</v>
      </c>
      <c r="F101" s="34">
        <f t="shared" si="21"/>
        <v>16</v>
      </c>
      <c r="G101" s="55">
        <f t="shared" si="22"/>
        <v>0.19140000000000001</v>
      </c>
      <c r="H101" s="182">
        <f t="shared" si="23"/>
        <v>2.342717258261934E-4</v>
      </c>
      <c r="I101" s="56">
        <f t="shared" si="24"/>
        <v>76.56</v>
      </c>
      <c r="J101" s="10"/>
      <c r="K101" s="6">
        <f ca="1">AB184</f>
        <v>1983</v>
      </c>
      <c r="L101" s="1"/>
      <c r="M101" s="1"/>
      <c r="AB101" s="2">
        <f t="shared" si="25"/>
        <v>488.25</v>
      </c>
      <c r="AC101" s="2">
        <f t="shared" si="26"/>
        <v>1.4940330477356181E-3</v>
      </c>
    </row>
    <row r="102" spans="1:30" ht="15.75" x14ac:dyDescent="0.25">
      <c r="A102" s="84" t="s">
        <v>231</v>
      </c>
      <c r="B102" s="72"/>
      <c r="C102" s="177">
        <v>0.25</v>
      </c>
      <c r="D102" s="73">
        <v>9.8000000000000007</v>
      </c>
      <c r="E102" s="74">
        <v>60</v>
      </c>
      <c r="F102" s="34">
        <f t="shared" si="21"/>
        <v>16</v>
      </c>
      <c r="G102" s="55">
        <f t="shared" si="22"/>
        <v>5.8799999999999998E-2</v>
      </c>
      <c r="H102" s="182">
        <f t="shared" si="23"/>
        <v>7.1970624235006124E-5</v>
      </c>
      <c r="I102" s="56">
        <f t="shared" si="24"/>
        <v>23.52</v>
      </c>
      <c r="J102" s="10"/>
      <c r="K102" s="1"/>
      <c r="L102" s="1"/>
      <c r="M102" s="1"/>
      <c r="AB102" s="2">
        <f t="shared" si="25"/>
        <v>0</v>
      </c>
      <c r="AC102" s="2">
        <f t="shared" si="26"/>
        <v>0</v>
      </c>
    </row>
    <row r="103" spans="1:30" ht="15.75" x14ac:dyDescent="0.25">
      <c r="A103" s="84" t="s">
        <v>223</v>
      </c>
      <c r="B103" s="72"/>
      <c r="C103" s="177">
        <v>0</v>
      </c>
      <c r="D103" s="73">
        <v>0</v>
      </c>
      <c r="E103" s="74">
        <v>60</v>
      </c>
      <c r="F103" s="34">
        <f t="shared" si="21"/>
        <v>16</v>
      </c>
      <c r="G103" s="55">
        <f t="shared" si="22"/>
        <v>0</v>
      </c>
      <c r="H103" s="182">
        <f t="shared" si="23"/>
        <v>0</v>
      </c>
      <c r="I103" s="56">
        <f t="shared" si="24"/>
        <v>0</v>
      </c>
      <c r="J103" s="10"/>
      <c r="K103" s="1"/>
      <c r="L103" s="1"/>
      <c r="M103" s="1"/>
      <c r="AB103" s="2">
        <f t="shared" si="25"/>
        <v>0</v>
      </c>
      <c r="AC103" s="2">
        <f t="shared" si="26"/>
        <v>0</v>
      </c>
    </row>
    <row r="104" spans="1:30" ht="15.75" x14ac:dyDescent="0.25">
      <c r="A104" s="41"/>
      <c r="B104" s="26"/>
      <c r="C104" s="26"/>
      <c r="D104" s="26"/>
      <c r="E104" s="40"/>
      <c r="F104" s="37"/>
      <c r="G104" s="38" t="s">
        <v>35</v>
      </c>
      <c r="H104" s="182"/>
      <c r="I104" s="71" t="s">
        <v>50</v>
      </c>
      <c r="J104" s="10"/>
      <c r="K104" s="1"/>
      <c r="L104" s="1"/>
      <c r="M104" s="1"/>
      <c r="AB104" s="2">
        <f t="shared" si="25"/>
        <v>1247.75</v>
      </c>
      <c r="AC104" s="2">
        <f t="shared" si="26"/>
        <v>3.8180844553243574E-3</v>
      </c>
    </row>
    <row r="105" spans="1:30" ht="15.75" x14ac:dyDescent="0.25">
      <c r="A105" s="30" t="s">
        <v>51</v>
      </c>
      <c r="B105" s="26"/>
      <c r="C105" s="31"/>
      <c r="D105" s="26"/>
      <c r="E105" s="40"/>
      <c r="F105" s="37"/>
      <c r="G105" s="83">
        <f ca="1">AB130</f>
        <v>322.42481250000003</v>
      </c>
      <c r="H105" s="182">
        <f ca="1">AC86</f>
        <v>0.39464481334149326</v>
      </c>
      <c r="I105" s="56">
        <f ca="1">AB131</f>
        <v>128969.925</v>
      </c>
      <c r="J105" s="10"/>
      <c r="K105" s="1"/>
      <c r="L105" s="1"/>
      <c r="M105" s="1"/>
      <c r="AB105" s="2">
        <f t="shared" si="25"/>
        <v>0</v>
      </c>
      <c r="AC105" s="2">
        <f t="shared" si="26"/>
        <v>0</v>
      </c>
    </row>
    <row r="106" spans="1:30" ht="15.75" x14ac:dyDescent="0.25">
      <c r="A106" s="41"/>
      <c r="B106" s="26"/>
      <c r="C106" s="31"/>
      <c r="D106" s="26"/>
      <c r="E106" s="40"/>
      <c r="F106" s="37"/>
      <c r="G106" s="40"/>
      <c r="H106" s="183"/>
      <c r="I106" s="71" t="s">
        <v>27</v>
      </c>
      <c r="J106" s="10"/>
      <c r="K106" s="1"/>
      <c r="L106" s="7" t="s">
        <v>86</v>
      </c>
      <c r="M106" s="1"/>
      <c r="AB106" s="2">
        <f t="shared" si="25"/>
        <v>0</v>
      </c>
      <c r="AC106" s="2">
        <f t="shared" si="26"/>
        <v>0</v>
      </c>
    </row>
    <row r="107" spans="1:30" ht="15.75" x14ac:dyDescent="0.25">
      <c r="A107" s="41"/>
      <c r="B107" s="26"/>
      <c r="C107" s="26"/>
      <c r="D107" s="26"/>
      <c r="E107" s="38" t="s">
        <v>52</v>
      </c>
      <c r="F107" s="38" t="s">
        <v>53</v>
      </c>
      <c r="G107" s="38" t="s">
        <v>42</v>
      </c>
      <c r="H107" s="182" t="s">
        <v>144</v>
      </c>
      <c r="I107" s="71" t="str">
        <f>AB132</f>
        <v xml:space="preserve"> 400 Does</v>
      </c>
      <c r="J107" s="10"/>
      <c r="K107" s="1"/>
      <c r="L107" s="7" t="s">
        <v>87</v>
      </c>
      <c r="M107" s="1"/>
      <c r="AB107" s="2">
        <f t="shared" si="25"/>
        <v>550.63750000000005</v>
      </c>
      <c r="AC107" s="2">
        <f t="shared" si="26"/>
        <v>1.6849372705018361E-3</v>
      </c>
    </row>
    <row r="108" spans="1:30" ht="15.75" x14ac:dyDescent="0.25">
      <c r="A108" s="30" t="s">
        <v>54</v>
      </c>
      <c r="B108" s="26"/>
      <c r="C108" s="31"/>
      <c r="D108" s="26"/>
      <c r="E108" s="38" t="s">
        <v>55</v>
      </c>
      <c r="F108" s="38" t="s">
        <v>56</v>
      </c>
      <c r="G108" s="38" t="s">
        <v>45</v>
      </c>
      <c r="H108" s="182" t="s">
        <v>45</v>
      </c>
      <c r="I108" s="71" t="s">
        <v>45</v>
      </c>
      <c r="J108" s="10"/>
      <c r="K108" s="1"/>
      <c r="L108" s="7" t="s">
        <v>88</v>
      </c>
      <c r="M108" s="1"/>
      <c r="AB108" s="2">
        <f t="shared" si="25"/>
        <v>550.63750000000005</v>
      </c>
      <c r="AC108" s="2">
        <f t="shared" si="26"/>
        <v>1.6849372705018361E-3</v>
      </c>
    </row>
    <row r="109" spans="1:30" ht="15.75" x14ac:dyDescent="0.25">
      <c r="A109" s="30" t="s">
        <v>57</v>
      </c>
      <c r="B109" s="26"/>
      <c r="C109" s="26"/>
      <c r="D109" s="26"/>
      <c r="E109" s="34">
        <v>3</v>
      </c>
      <c r="F109" s="34">
        <v>400</v>
      </c>
      <c r="G109" s="83">
        <f>AB133</f>
        <v>3</v>
      </c>
      <c r="H109" s="182">
        <f>AC126</f>
        <v>3.6719706242350062E-3</v>
      </c>
      <c r="I109" s="56">
        <f>AB134</f>
        <v>1200</v>
      </c>
      <c r="J109" s="10"/>
      <c r="K109" s="1"/>
      <c r="L109" s="7" t="s">
        <v>90</v>
      </c>
      <c r="M109" s="1"/>
      <c r="AB109" s="2">
        <f t="shared" si="25"/>
        <v>1063.3000000000002</v>
      </c>
      <c r="AC109" s="2">
        <f t="shared" si="26"/>
        <v>3.2536719706242356E-3</v>
      </c>
    </row>
    <row r="110" spans="1:30" ht="15.75" x14ac:dyDescent="0.25">
      <c r="A110" s="30" t="s">
        <v>58</v>
      </c>
      <c r="B110" s="26"/>
      <c r="C110" s="26"/>
      <c r="D110" s="26"/>
      <c r="E110" s="34">
        <v>0</v>
      </c>
      <c r="F110" s="34">
        <v>0</v>
      </c>
      <c r="G110" s="83">
        <f>AB135</f>
        <v>0</v>
      </c>
      <c r="H110" s="182">
        <f>AC127</f>
        <v>0</v>
      </c>
      <c r="I110" s="56">
        <f>AB136</f>
        <v>0</v>
      </c>
      <c r="J110" s="10"/>
      <c r="K110" s="1"/>
      <c r="L110" s="1"/>
      <c r="M110" s="1"/>
      <c r="AB110" s="2">
        <f>C87*D87/100*E87*F87/E5</f>
        <v>0</v>
      </c>
    </row>
    <row r="111" spans="1:30" ht="15.75" x14ac:dyDescent="0.25">
      <c r="A111" s="30" t="s">
        <v>59</v>
      </c>
      <c r="B111" s="26"/>
      <c r="C111" s="26"/>
      <c r="D111" s="26"/>
      <c r="E111" s="34">
        <v>0</v>
      </c>
      <c r="F111" s="34">
        <v>0</v>
      </c>
      <c r="G111" s="83">
        <f>AB137</f>
        <v>0</v>
      </c>
      <c r="H111" s="182">
        <f>AC128</f>
        <v>0</v>
      </c>
      <c r="I111" s="56">
        <f>AB138</f>
        <v>0</v>
      </c>
      <c r="J111" s="10"/>
      <c r="K111" s="1"/>
      <c r="L111" s="1"/>
      <c r="M111" s="1"/>
      <c r="AB111" s="2">
        <f>G87*E5</f>
        <v>0</v>
      </c>
    </row>
    <row r="112" spans="1:30" ht="15.75" x14ac:dyDescent="0.25">
      <c r="A112" s="30" t="s">
        <v>60</v>
      </c>
      <c r="B112" s="26"/>
      <c r="C112" s="26"/>
      <c r="D112" s="26"/>
      <c r="E112" s="34">
        <v>0</v>
      </c>
      <c r="F112" s="34">
        <v>0</v>
      </c>
      <c r="G112" s="83">
        <f>AB139</f>
        <v>0</v>
      </c>
      <c r="H112" s="182">
        <f>AC129</f>
        <v>0</v>
      </c>
      <c r="I112" s="56">
        <f>AB140</f>
        <v>0</v>
      </c>
      <c r="J112" s="10"/>
      <c r="K112" s="1"/>
      <c r="L112" s="1"/>
      <c r="M112" s="1"/>
      <c r="AB112" s="2">
        <f>C90*D90/100*E90*F90/$E$5</f>
        <v>0.11520000000000001</v>
      </c>
      <c r="AC112" s="2">
        <f>I90/$E$32</f>
        <v>1.4100367197062425E-4</v>
      </c>
      <c r="AD112" s="2">
        <f>G90*$E$5</f>
        <v>46.080000000000005</v>
      </c>
    </row>
    <row r="113" spans="1:30" ht="15.75" x14ac:dyDescent="0.25">
      <c r="A113" s="30" t="s">
        <v>61</v>
      </c>
      <c r="B113" s="84" t="s">
        <v>62</v>
      </c>
      <c r="C113" s="85"/>
      <c r="D113" s="189"/>
      <c r="E113" s="34">
        <v>0</v>
      </c>
      <c r="F113" s="34">
        <v>0</v>
      </c>
      <c r="G113" s="83">
        <f>AB141</f>
        <v>0</v>
      </c>
      <c r="H113" s="182">
        <f>AC130</f>
        <v>0</v>
      </c>
      <c r="I113" s="56">
        <f>AB142</f>
        <v>0</v>
      </c>
      <c r="J113" s="10"/>
      <c r="K113" s="1"/>
      <c r="L113" s="1"/>
      <c r="M113" s="1"/>
      <c r="AB113" s="2">
        <f t="shared" ref="AB113:AB125" si="27">C91*D91/100*E91*F91/$E$5</f>
        <v>0.24599999999999997</v>
      </c>
      <c r="AC113" s="2">
        <f t="shared" ref="AC113:AC125" si="28">I91/$E$32</f>
        <v>3.0110159118727049E-4</v>
      </c>
      <c r="AD113" s="2">
        <f t="shared" ref="AD113:AD125" si="29">G91*$E$5</f>
        <v>98.399999999999991</v>
      </c>
    </row>
    <row r="114" spans="1:30" ht="15.75" x14ac:dyDescent="0.25">
      <c r="A114" s="75"/>
      <c r="B114" s="26"/>
      <c r="C114" s="31"/>
      <c r="D114" s="26"/>
      <c r="E114" s="31"/>
      <c r="F114" s="26"/>
      <c r="G114" s="26"/>
      <c r="H114" s="184"/>
      <c r="I114" s="33"/>
      <c r="J114" s="1"/>
      <c r="K114" s="1"/>
      <c r="L114" s="5"/>
      <c r="M114" s="1"/>
      <c r="AB114" s="2">
        <f t="shared" si="27"/>
        <v>0</v>
      </c>
      <c r="AC114" s="2">
        <f t="shared" si="28"/>
        <v>0</v>
      </c>
      <c r="AD114" s="2">
        <f t="shared" si="29"/>
        <v>0</v>
      </c>
    </row>
    <row r="115" spans="1:30" ht="15.75" x14ac:dyDescent="0.25">
      <c r="A115" s="75"/>
      <c r="B115" s="26"/>
      <c r="C115" s="31"/>
      <c r="D115" s="26"/>
      <c r="E115" s="86" t="s">
        <v>151</v>
      </c>
      <c r="F115" s="26"/>
      <c r="G115" s="26"/>
      <c r="H115" s="184"/>
      <c r="I115" s="33"/>
      <c r="J115" s="10"/>
      <c r="K115" s="1"/>
      <c r="L115" s="5"/>
      <c r="M115" s="1"/>
      <c r="AB115" s="2">
        <f t="shared" si="27"/>
        <v>0</v>
      </c>
      <c r="AC115" s="2">
        <f t="shared" si="28"/>
        <v>0</v>
      </c>
      <c r="AD115" s="2">
        <f t="shared" si="29"/>
        <v>0</v>
      </c>
    </row>
    <row r="116" spans="1:30" ht="15.75" x14ac:dyDescent="0.25">
      <c r="A116" s="41"/>
      <c r="B116" s="26"/>
      <c r="C116" s="31"/>
      <c r="D116" s="40"/>
      <c r="E116" s="38" t="s">
        <v>41</v>
      </c>
      <c r="F116" s="38" t="s">
        <v>27</v>
      </c>
      <c r="G116" s="55"/>
      <c r="H116" s="182"/>
      <c r="I116" s="71" t="s">
        <v>27</v>
      </c>
      <c r="J116" s="1"/>
      <c r="K116" s="1"/>
      <c r="L116" s="5"/>
      <c r="M116" s="1"/>
      <c r="AB116" s="2">
        <f t="shared" si="27"/>
        <v>0.21599999999999997</v>
      </c>
      <c r="AC116" s="2">
        <f t="shared" si="28"/>
        <v>2.643818849449204E-4</v>
      </c>
      <c r="AD116" s="2">
        <f t="shared" si="29"/>
        <v>86.399999999999991</v>
      </c>
    </row>
    <row r="117" spans="1:30" ht="15.75" x14ac:dyDescent="0.25">
      <c r="A117" s="41"/>
      <c r="B117" s="26"/>
      <c r="C117" s="31"/>
      <c r="D117" s="40"/>
      <c r="E117" s="38" t="s">
        <v>42</v>
      </c>
      <c r="F117" s="38" t="str">
        <f>AB143</f>
        <v>400 Does</v>
      </c>
      <c r="G117" s="38" t="s">
        <v>42</v>
      </c>
      <c r="H117" s="182" t="s">
        <v>144</v>
      </c>
      <c r="I117" s="71" t="str">
        <f>AB144</f>
        <v xml:space="preserve"> 400 Does</v>
      </c>
      <c r="J117" s="10"/>
      <c r="K117" s="10"/>
      <c r="L117" s="5"/>
      <c r="M117" s="1"/>
      <c r="AB117" s="2">
        <f t="shared" si="27"/>
        <v>0</v>
      </c>
      <c r="AC117" s="2">
        <f t="shared" si="28"/>
        <v>0</v>
      </c>
      <c r="AD117" s="2">
        <f t="shared" si="29"/>
        <v>0</v>
      </c>
    </row>
    <row r="118" spans="1:30" ht="15.75" x14ac:dyDescent="0.25">
      <c r="A118" s="41"/>
      <c r="B118" s="26"/>
      <c r="C118" s="31"/>
      <c r="D118" s="40"/>
      <c r="E118" s="38" t="s">
        <v>63</v>
      </c>
      <c r="F118" s="38" t="s">
        <v>44</v>
      </c>
      <c r="G118" s="38" t="s">
        <v>45</v>
      </c>
      <c r="H118" s="182" t="s">
        <v>45</v>
      </c>
      <c r="I118" s="71" t="s">
        <v>35</v>
      </c>
      <c r="J118" s="10"/>
      <c r="K118" s="10"/>
      <c r="L118" s="5"/>
      <c r="M118" s="1"/>
      <c r="AB118" s="2">
        <f t="shared" si="27"/>
        <v>0.13800000000000001</v>
      </c>
      <c r="AC118" s="2">
        <f t="shared" si="28"/>
        <v>1.6891064871481028E-4</v>
      </c>
      <c r="AD118" s="2">
        <f t="shared" si="29"/>
        <v>55.2</v>
      </c>
    </row>
    <row r="119" spans="1:30" ht="15.75" x14ac:dyDescent="0.25">
      <c r="A119" s="30" t="s">
        <v>143</v>
      </c>
      <c r="B119" s="26"/>
      <c r="C119" s="26"/>
      <c r="D119" s="40"/>
      <c r="E119" s="53">
        <v>53</v>
      </c>
      <c r="F119" s="87"/>
      <c r="G119" s="55">
        <f>AB145</f>
        <v>53</v>
      </c>
      <c r="H119" s="182">
        <f t="shared" ref="H119:H133" si="30">AC136</f>
        <v>6.4871481028151781E-2</v>
      </c>
      <c r="I119" s="56">
        <f>AB146</f>
        <v>21200</v>
      </c>
      <c r="J119" s="10"/>
      <c r="K119" s="5"/>
      <c r="L119" s="5"/>
      <c r="M119" s="1"/>
      <c r="AB119" s="2">
        <f t="shared" si="27"/>
        <v>0</v>
      </c>
      <c r="AC119" s="2">
        <f t="shared" si="28"/>
        <v>0</v>
      </c>
      <c r="AD119" s="2">
        <f t="shared" si="29"/>
        <v>0</v>
      </c>
    </row>
    <row r="120" spans="1:30" ht="15.75" x14ac:dyDescent="0.25">
      <c r="A120" s="30" t="s">
        <v>64</v>
      </c>
      <c r="B120" s="26"/>
      <c r="C120" s="26"/>
      <c r="D120" s="40"/>
      <c r="E120" s="53">
        <v>18.38</v>
      </c>
      <c r="F120" s="87"/>
      <c r="G120" s="55">
        <f>AB147</f>
        <v>18.38</v>
      </c>
      <c r="H120" s="182">
        <f t="shared" si="30"/>
        <v>2.2496940024479804E-2</v>
      </c>
      <c r="I120" s="56">
        <f>AB148</f>
        <v>7352</v>
      </c>
      <c r="J120" s="10"/>
      <c r="K120" s="1"/>
      <c r="L120" s="5"/>
      <c r="M120" s="1"/>
      <c r="AB120" s="2">
        <f t="shared" si="27"/>
        <v>0</v>
      </c>
      <c r="AC120" s="2">
        <f t="shared" si="28"/>
        <v>0</v>
      </c>
      <c r="AD120" s="2">
        <f t="shared" si="29"/>
        <v>0</v>
      </c>
    </row>
    <row r="121" spans="1:30" ht="15.75" x14ac:dyDescent="0.25">
      <c r="A121" s="30" t="s">
        <v>65</v>
      </c>
      <c r="B121" s="26"/>
      <c r="C121" s="26"/>
      <c r="D121" s="40"/>
      <c r="E121" s="53">
        <v>3.65</v>
      </c>
      <c r="F121" s="87"/>
      <c r="G121" s="55">
        <f>AB149</f>
        <v>3.65</v>
      </c>
      <c r="H121" s="182">
        <f t="shared" si="30"/>
        <v>4.4675642594859243E-3</v>
      </c>
      <c r="I121" s="56">
        <f>AB150</f>
        <v>1460</v>
      </c>
      <c r="J121" s="10"/>
      <c r="K121" s="5"/>
      <c r="L121" s="5"/>
      <c r="M121" s="1"/>
      <c r="AB121" s="2">
        <f t="shared" si="27"/>
        <v>0</v>
      </c>
      <c r="AC121" s="2">
        <f t="shared" si="28"/>
        <v>0</v>
      </c>
      <c r="AD121" s="2">
        <f t="shared" si="29"/>
        <v>0</v>
      </c>
    </row>
    <row r="122" spans="1:30" ht="15.75" x14ac:dyDescent="0.25">
      <c r="A122" s="30" t="s">
        <v>66</v>
      </c>
      <c r="B122" s="26"/>
      <c r="C122" s="26"/>
      <c r="D122" s="26"/>
      <c r="E122" s="53"/>
      <c r="F122" s="87"/>
      <c r="G122" s="55">
        <f>AB151</f>
        <v>0</v>
      </c>
      <c r="H122" s="182">
        <f t="shared" si="30"/>
        <v>0</v>
      </c>
      <c r="I122" s="56">
        <f>AB152</f>
        <v>0</v>
      </c>
      <c r="J122" s="10"/>
      <c r="K122" s="10"/>
      <c r="L122" s="1"/>
      <c r="M122" s="1"/>
      <c r="AB122" s="2">
        <f t="shared" si="27"/>
        <v>0.19140000000000001</v>
      </c>
      <c r="AC122" s="2">
        <f t="shared" si="28"/>
        <v>2.342717258261934E-4</v>
      </c>
      <c r="AD122" s="2">
        <f t="shared" si="29"/>
        <v>76.56</v>
      </c>
    </row>
    <row r="123" spans="1:30" ht="15.75" x14ac:dyDescent="0.25">
      <c r="A123" s="30" t="s">
        <v>147</v>
      </c>
      <c r="B123" s="26"/>
      <c r="C123" s="31"/>
      <c r="D123" s="31"/>
      <c r="E123" s="53">
        <v>57.74</v>
      </c>
      <c r="F123" s="87"/>
      <c r="G123" s="55">
        <f>AB153</f>
        <v>57.74</v>
      </c>
      <c r="H123" s="182">
        <f t="shared" si="30"/>
        <v>7.0673194614443088E-2</v>
      </c>
      <c r="I123" s="56">
        <f>AB154</f>
        <v>23096</v>
      </c>
      <c r="J123" s="10"/>
      <c r="K123" s="10"/>
      <c r="L123" s="10"/>
      <c r="M123" s="1"/>
      <c r="AB123" s="2">
        <f t="shared" si="27"/>
        <v>0.19140000000000001</v>
      </c>
      <c r="AC123" s="2">
        <f t="shared" si="28"/>
        <v>2.342717258261934E-4</v>
      </c>
      <c r="AD123" s="2">
        <f t="shared" si="29"/>
        <v>76.56</v>
      </c>
    </row>
    <row r="124" spans="1:30" ht="15.75" x14ac:dyDescent="0.25">
      <c r="A124" s="30" t="s">
        <v>148</v>
      </c>
      <c r="B124" s="26"/>
      <c r="C124" s="31"/>
      <c r="D124" s="31"/>
      <c r="E124" s="53">
        <v>34.93</v>
      </c>
      <c r="F124" s="87"/>
      <c r="G124" s="55">
        <f>AB155</f>
        <v>34.93</v>
      </c>
      <c r="H124" s="182">
        <f t="shared" si="30"/>
        <v>4.2753977968176253E-2</v>
      </c>
      <c r="I124" s="56">
        <f>AB156</f>
        <v>13972</v>
      </c>
      <c r="J124" s="10"/>
      <c r="K124" s="10"/>
      <c r="L124" s="10"/>
      <c r="M124" s="1"/>
      <c r="AB124" s="2">
        <f t="shared" si="27"/>
        <v>5.8799999999999998E-2</v>
      </c>
      <c r="AC124" s="2">
        <f t="shared" si="28"/>
        <v>7.1970624235006124E-5</v>
      </c>
      <c r="AD124" s="2">
        <f t="shared" si="29"/>
        <v>23.52</v>
      </c>
    </row>
    <row r="125" spans="1:30" ht="15.75" x14ac:dyDescent="0.25">
      <c r="A125" s="30" t="s">
        <v>67</v>
      </c>
      <c r="B125" s="31"/>
      <c r="C125" s="26"/>
      <c r="D125" s="26"/>
      <c r="E125" s="53">
        <v>28.03</v>
      </c>
      <c r="F125" s="87"/>
      <c r="G125" s="55">
        <f>AB157</f>
        <v>28.03</v>
      </c>
      <c r="H125" s="182">
        <f t="shared" si="30"/>
        <v>3.4308445532435741E-2</v>
      </c>
      <c r="I125" s="56">
        <f>AB158</f>
        <v>11212</v>
      </c>
      <c r="J125" s="10"/>
      <c r="K125" s="10"/>
      <c r="L125" s="10"/>
      <c r="M125" s="1"/>
      <c r="AB125" s="2">
        <f t="shared" si="27"/>
        <v>0</v>
      </c>
      <c r="AC125" s="2">
        <f t="shared" si="28"/>
        <v>0</v>
      </c>
      <c r="AD125" s="2">
        <f t="shared" si="29"/>
        <v>0</v>
      </c>
    </row>
    <row r="126" spans="1:30" ht="15.75" x14ac:dyDescent="0.25">
      <c r="A126" s="30" t="s">
        <v>68</v>
      </c>
      <c r="B126" s="26"/>
      <c r="C126" s="190" t="s">
        <v>153</v>
      </c>
      <c r="D126" s="72"/>
      <c r="E126" s="53">
        <v>32.68</v>
      </c>
      <c r="F126" s="87"/>
      <c r="G126" s="55">
        <f>AB159</f>
        <v>32.68</v>
      </c>
      <c r="H126" s="182">
        <f t="shared" si="30"/>
        <v>0.04</v>
      </c>
      <c r="I126" s="56">
        <f>AB160</f>
        <v>13072</v>
      </c>
      <c r="J126" s="10"/>
      <c r="K126" s="8">
        <f ca="1">AB221</f>
        <v>314674.22100000002</v>
      </c>
      <c r="L126" s="10"/>
      <c r="M126" s="1"/>
      <c r="AB126" s="2">
        <f>C71*D71/100*E71*F71/E5</f>
        <v>0</v>
      </c>
      <c r="AC126" s="2">
        <f>I109/$E$32</f>
        <v>3.6719706242350062E-3</v>
      </c>
    </row>
    <row r="127" spans="1:30" ht="15.75" x14ac:dyDescent="0.25">
      <c r="A127" s="30" t="s">
        <v>149</v>
      </c>
      <c r="B127" s="26"/>
      <c r="C127" s="26"/>
      <c r="D127" s="26"/>
      <c r="E127" s="53"/>
      <c r="F127" s="87"/>
      <c r="G127" s="55">
        <f>AB161</f>
        <v>0</v>
      </c>
      <c r="H127" s="182">
        <f t="shared" si="30"/>
        <v>0</v>
      </c>
      <c r="I127" s="56">
        <f>AB162</f>
        <v>0</v>
      </c>
      <c r="J127" s="10"/>
      <c r="K127" s="6">
        <f ca="1">AB223</f>
        <v>0.98749470796548466</v>
      </c>
      <c r="L127" s="10"/>
      <c r="M127" s="1"/>
      <c r="AB127" s="2">
        <f>G71*E5</f>
        <v>0</v>
      </c>
      <c r="AC127" s="2">
        <f>I110/$E$32</f>
        <v>0</v>
      </c>
    </row>
    <row r="128" spans="1:30" ht="15.75" x14ac:dyDescent="0.25">
      <c r="A128" s="30" t="s">
        <v>150</v>
      </c>
      <c r="B128" s="31"/>
      <c r="C128" s="31"/>
      <c r="D128" s="26"/>
      <c r="E128" s="53"/>
      <c r="F128" s="87"/>
      <c r="G128" s="55">
        <f>AB163</f>
        <v>0</v>
      </c>
      <c r="H128" s="182">
        <f t="shared" si="30"/>
        <v>0</v>
      </c>
      <c r="I128" s="56">
        <f>AB164</f>
        <v>0</v>
      </c>
      <c r="J128" s="10"/>
      <c r="K128" s="1"/>
      <c r="L128" s="1"/>
      <c r="M128" s="1"/>
      <c r="AB128" s="2">
        <f>C72*D72/100*E72*F72/E5</f>
        <v>0</v>
      </c>
      <c r="AC128" s="2">
        <f>I111/$E$32</f>
        <v>0</v>
      </c>
    </row>
    <row r="129" spans="1:29" ht="15.75" x14ac:dyDescent="0.25">
      <c r="A129" s="30" t="s">
        <v>69</v>
      </c>
      <c r="B129" s="31"/>
      <c r="C129" s="31"/>
      <c r="D129" s="88"/>
      <c r="E129" s="53"/>
      <c r="F129" s="87"/>
      <c r="G129" s="55">
        <f>AB167</f>
        <v>0</v>
      </c>
      <c r="H129" s="182">
        <f t="shared" si="30"/>
        <v>0</v>
      </c>
      <c r="I129" s="56">
        <f>AB168</f>
        <v>0</v>
      </c>
      <c r="J129" s="10"/>
      <c r="K129" s="1"/>
      <c r="L129" s="5"/>
      <c r="M129" s="1"/>
      <c r="AB129" s="2">
        <f>G72*E5</f>
        <v>0</v>
      </c>
      <c r="AC129" s="2">
        <f>I112/$E$32</f>
        <v>0</v>
      </c>
    </row>
    <row r="130" spans="1:29" ht="15.75" x14ac:dyDescent="0.25">
      <c r="A130" s="30" t="s">
        <v>70</v>
      </c>
      <c r="B130" s="26"/>
      <c r="C130" s="26"/>
      <c r="D130" s="88"/>
      <c r="E130" s="53">
        <f>CapitalInvestment!D26</f>
        <v>13.503250000000001</v>
      </c>
      <c r="F130" s="87"/>
      <c r="G130" s="55">
        <f>AB170</f>
        <v>13.503250000000001</v>
      </c>
      <c r="H130" s="182">
        <f t="shared" si="30"/>
        <v>1.6527845777233784E-2</v>
      </c>
      <c r="I130" s="56">
        <f>AB171</f>
        <v>5401.3</v>
      </c>
      <c r="J130" s="10"/>
      <c r="K130" s="1"/>
      <c r="L130" s="5"/>
      <c r="M130" s="1"/>
      <c r="AB130" s="2">
        <f ca="1">I105/E5</f>
        <v>322.42481250000003</v>
      </c>
      <c r="AC130" s="2">
        <f>I113/$E$32</f>
        <v>0</v>
      </c>
    </row>
    <row r="131" spans="1:29" ht="15.75" x14ac:dyDescent="0.25">
      <c r="A131" s="30" t="s">
        <v>208</v>
      </c>
      <c r="B131" s="26"/>
      <c r="C131" s="26"/>
      <c r="D131" s="88"/>
      <c r="E131" s="53">
        <f>CapitalInvestment!D25</f>
        <v>24.093000000000004</v>
      </c>
      <c r="F131" s="87"/>
      <c r="G131" s="55">
        <f>AB173</f>
        <v>24.093000000000004</v>
      </c>
      <c r="H131" s="182">
        <f t="shared" si="30"/>
        <v>2.9489596083231335E-2</v>
      </c>
      <c r="I131" s="56">
        <f>AB174</f>
        <v>9637.2000000000007</v>
      </c>
      <c r="J131" s="13">
        <f>AB226</f>
        <v>1.615</v>
      </c>
      <c r="K131" s="10"/>
      <c r="L131" s="10"/>
      <c r="M131" s="1"/>
      <c r="AB131" s="4">
        <f ca="1">SUM(I44:I103)</f>
        <v>128969.925</v>
      </c>
    </row>
    <row r="132" spans="1:29" ht="15.75" x14ac:dyDescent="0.25">
      <c r="A132" s="30" t="s">
        <v>152</v>
      </c>
      <c r="B132" s="26"/>
      <c r="C132" s="31"/>
      <c r="D132" s="88"/>
      <c r="E132" s="53"/>
      <c r="F132" s="87"/>
      <c r="G132" s="55">
        <f>AB192</f>
        <v>0</v>
      </c>
      <c r="H132" s="182">
        <f t="shared" si="30"/>
        <v>0</v>
      </c>
      <c r="I132" s="56">
        <f>AB193</f>
        <v>0</v>
      </c>
      <c r="J132" s="13">
        <f>AB227</f>
        <v>5</v>
      </c>
      <c r="K132" s="10"/>
      <c r="L132" s="10"/>
      <c r="M132" s="1"/>
      <c r="AB132" s="2" t="str">
        <f>" "&amp;FIXED(E5,0,TRUE)&amp;" Does"</f>
        <v xml:space="preserve"> 400 Does</v>
      </c>
    </row>
    <row r="133" spans="1:29" ht="15.75" x14ac:dyDescent="0.25">
      <c r="A133" s="30" t="s">
        <v>74</v>
      </c>
      <c r="B133" s="31"/>
      <c r="C133" s="31"/>
      <c r="D133" s="88"/>
      <c r="E133" s="53">
        <v>16.649999999999999</v>
      </c>
      <c r="F133" s="87"/>
      <c r="G133" s="55">
        <f>AB177</f>
        <v>16.649999999999999</v>
      </c>
      <c r="H133" s="182">
        <f t="shared" si="30"/>
        <v>2.0379436964504283E-2</v>
      </c>
      <c r="I133" s="56">
        <f>AB178</f>
        <v>6659.9999999999991</v>
      </c>
      <c r="J133" s="13">
        <f>AB228</f>
        <v>1495.9587499999998</v>
      </c>
      <c r="K133" s="10"/>
      <c r="L133" s="10"/>
      <c r="M133" s="1"/>
      <c r="AB133" s="2">
        <f>(F109*E109)/F37</f>
        <v>3</v>
      </c>
    </row>
    <row r="134" spans="1:29" ht="15.75" x14ac:dyDescent="0.25">
      <c r="A134" s="75" t="s">
        <v>159</v>
      </c>
      <c r="B134" s="31"/>
      <c r="C134" s="31"/>
      <c r="D134" s="88"/>
      <c r="E134" s="80"/>
      <c r="F134" s="89"/>
      <c r="G134" s="55"/>
      <c r="H134" s="182"/>
      <c r="I134" s="56"/>
      <c r="J134" s="13">
        <f>AB230</f>
        <v>182.5</v>
      </c>
      <c r="K134" s="10"/>
      <c r="L134" s="10"/>
      <c r="M134" s="1"/>
      <c r="AB134" s="2">
        <f>G109*E5</f>
        <v>1200</v>
      </c>
    </row>
    <row r="135" spans="1:29" ht="15.75" x14ac:dyDescent="0.25">
      <c r="A135" s="30"/>
      <c r="B135" s="31"/>
      <c r="C135" s="31"/>
      <c r="D135" s="88"/>
      <c r="E135" s="80"/>
      <c r="F135" s="89"/>
      <c r="G135" s="55"/>
      <c r="H135" s="182"/>
      <c r="I135" s="56"/>
      <c r="J135" s="13">
        <f>AB232</f>
        <v>0.32499999999999996</v>
      </c>
      <c r="K135" s="10"/>
      <c r="L135" s="10"/>
      <c r="M135" s="1"/>
      <c r="AB135" s="2">
        <f>(F110*E110)/F37</f>
        <v>0</v>
      </c>
    </row>
    <row r="136" spans="1:29" ht="15.75" x14ac:dyDescent="0.25">
      <c r="A136" s="30" t="s">
        <v>76</v>
      </c>
      <c r="B136" s="26"/>
      <c r="C136" s="38" t="s">
        <v>77</v>
      </c>
      <c r="D136" s="38" t="s">
        <v>78</v>
      </c>
      <c r="E136" s="36"/>
      <c r="F136" s="40"/>
      <c r="G136" s="40"/>
      <c r="H136" s="183"/>
      <c r="I136" s="46"/>
      <c r="J136" s="13">
        <f>AB234</f>
        <v>108616.28515624997</v>
      </c>
      <c r="K136" s="10"/>
      <c r="L136" s="10"/>
      <c r="M136" s="1"/>
      <c r="AB136" s="2">
        <f>G110*E5</f>
        <v>0</v>
      </c>
      <c r="AC136" s="2">
        <f t="shared" ref="AC136:AC150" si="31">I119/$E$32</f>
        <v>6.4871481028151781E-2</v>
      </c>
    </row>
    <row r="137" spans="1:29" ht="15.75" x14ac:dyDescent="0.25">
      <c r="A137" s="30" t="s">
        <v>80</v>
      </c>
      <c r="B137" s="26"/>
      <c r="C137" s="34">
        <v>4.95</v>
      </c>
      <c r="D137" s="34">
        <v>20</v>
      </c>
      <c r="E137" s="25">
        <f ca="1">AB179</f>
        <v>0</v>
      </c>
      <c r="F137" s="26"/>
      <c r="G137" s="55">
        <f ca="1">AB180</f>
        <v>4.9574999999999996</v>
      </c>
      <c r="H137" s="182">
        <f ca="1">AC152</f>
        <v>6.0679314565483472E-3</v>
      </c>
      <c r="I137" s="56">
        <f ca="1">AB181</f>
        <v>1983</v>
      </c>
      <c r="J137" s="13">
        <f>AB236</f>
        <v>110112.24390624998</v>
      </c>
      <c r="K137" s="10"/>
      <c r="L137" s="10"/>
      <c r="M137" s="1"/>
      <c r="AB137" s="2">
        <f>(F111*E111)/F37</f>
        <v>0</v>
      </c>
      <c r="AC137" s="2">
        <f t="shared" si="31"/>
        <v>2.2496940024479804E-2</v>
      </c>
    </row>
    <row r="138" spans="1:29" ht="15.75" x14ac:dyDescent="0.25">
      <c r="A138" s="41"/>
      <c r="B138" s="26"/>
      <c r="C138" s="26"/>
      <c r="D138" s="26"/>
      <c r="E138" s="36"/>
      <c r="F138" s="26"/>
      <c r="G138" s="38" t="s">
        <v>56</v>
      </c>
      <c r="H138" s="38" t="s">
        <v>45</v>
      </c>
      <c r="I138" s="71" t="s">
        <v>56</v>
      </c>
      <c r="J138" s="13">
        <f>AB238</f>
        <v>331.83164994655044</v>
      </c>
      <c r="K138" s="5"/>
      <c r="L138" s="1"/>
      <c r="M138" s="1"/>
      <c r="AB138" s="2">
        <f>G111*E5</f>
        <v>0</v>
      </c>
      <c r="AC138" s="2">
        <f t="shared" si="31"/>
        <v>4.4675642594859243E-3</v>
      </c>
    </row>
    <row r="139" spans="1:29" ht="15.75" x14ac:dyDescent="0.25">
      <c r="A139" s="48" t="s">
        <v>81</v>
      </c>
      <c r="B139" s="49"/>
      <c r="C139" s="90"/>
      <c r="D139" s="26"/>
      <c r="E139" s="36"/>
      <c r="F139" s="37"/>
      <c r="G139" s="51">
        <f ca="1">AB182</f>
        <v>613.03856250000001</v>
      </c>
      <c r="H139" s="51">
        <f ca="1">AC154</f>
        <v>0.75035319767441855</v>
      </c>
      <c r="I139" s="91">
        <f ca="1">AB183</f>
        <v>245215.42499999999</v>
      </c>
      <c r="J139" s="13">
        <f ca="1">AB239</f>
        <v>2.8333486276895033E-2</v>
      </c>
      <c r="K139" s="13">
        <f ca="1">AB240</f>
        <v>2.8333486276895033E-2</v>
      </c>
      <c r="L139" s="1"/>
      <c r="M139" s="1"/>
      <c r="AB139" s="2">
        <f>(F112*E112)/F37</f>
        <v>0</v>
      </c>
      <c r="AC139" s="2">
        <f t="shared" si="31"/>
        <v>0</v>
      </c>
    </row>
    <row r="140" spans="1:29" ht="15.75" x14ac:dyDescent="0.25">
      <c r="A140" s="75"/>
      <c r="B140" s="26"/>
      <c r="C140" s="26"/>
      <c r="D140" s="26"/>
      <c r="E140" s="86" t="s">
        <v>151</v>
      </c>
      <c r="F140" s="26"/>
      <c r="G140" s="26"/>
      <c r="H140" s="26"/>
      <c r="I140" s="33"/>
      <c r="J140" s="172" t="s">
        <v>204</v>
      </c>
      <c r="K140" s="13"/>
      <c r="L140" s="1"/>
      <c r="M140" s="1"/>
      <c r="AB140" s="2">
        <f>G112*E5</f>
        <v>0</v>
      </c>
      <c r="AC140" s="2">
        <f t="shared" si="31"/>
        <v>7.0673194614443088E-2</v>
      </c>
    </row>
    <row r="141" spans="1:29" ht="15.75" x14ac:dyDescent="0.25">
      <c r="A141" s="41"/>
      <c r="B141" s="26"/>
      <c r="C141" s="26"/>
      <c r="D141" s="88"/>
      <c r="E141" s="38" t="s">
        <v>41</v>
      </c>
      <c r="F141" s="38" t="s">
        <v>27</v>
      </c>
      <c r="G141" s="77"/>
      <c r="H141" s="77"/>
      <c r="I141" s="71" t="s">
        <v>27</v>
      </c>
      <c r="J141" s="172" t="s">
        <v>205</v>
      </c>
      <c r="K141" s="13"/>
      <c r="L141" s="1"/>
      <c r="M141" s="1"/>
      <c r="AB141" s="2">
        <f>(F113*E113)/F37</f>
        <v>0</v>
      </c>
      <c r="AC141" s="2">
        <f t="shared" si="31"/>
        <v>4.2753977968176253E-2</v>
      </c>
    </row>
    <row r="142" spans="1:29" ht="15.75" x14ac:dyDescent="0.25">
      <c r="A142" s="30" t="s">
        <v>83</v>
      </c>
      <c r="B142" s="26"/>
      <c r="C142" s="37"/>
      <c r="D142" s="88"/>
      <c r="E142" s="38" t="s">
        <v>42</v>
      </c>
      <c r="F142" s="38" t="str">
        <f>AB143</f>
        <v>400 Does</v>
      </c>
      <c r="G142" s="50" t="s">
        <v>42</v>
      </c>
      <c r="H142" s="51" t="s">
        <v>144</v>
      </c>
      <c r="I142" s="52" t="str">
        <f>AB185</f>
        <v xml:space="preserve"> 400 Does</v>
      </c>
      <c r="J142" s="172" t="s">
        <v>206</v>
      </c>
      <c r="K142" s="13"/>
      <c r="L142" s="1"/>
      <c r="M142" s="1"/>
      <c r="AB142" s="2">
        <f>G113*E5</f>
        <v>0</v>
      </c>
      <c r="AC142" s="2">
        <f t="shared" si="31"/>
        <v>3.4308445532435741E-2</v>
      </c>
    </row>
    <row r="143" spans="1:29" ht="15.75" x14ac:dyDescent="0.25">
      <c r="A143" s="30" t="s">
        <v>84</v>
      </c>
      <c r="B143" s="26"/>
      <c r="C143" s="26"/>
      <c r="D143" s="88"/>
      <c r="E143" s="53">
        <f>CapitalInvestment!D32</f>
        <v>102.82095000000001</v>
      </c>
      <c r="F143" s="87"/>
      <c r="G143" s="55">
        <f>AB187</f>
        <v>102.82095000000001</v>
      </c>
      <c r="H143" s="182">
        <f>AC158</f>
        <v>0.12585183598531213</v>
      </c>
      <c r="I143" s="56">
        <f>AB188</f>
        <v>41128.380000000005</v>
      </c>
      <c r="J143" s="13">
        <f ca="1">AB241</f>
        <v>0.99347957242279872</v>
      </c>
      <c r="K143" s="13">
        <f ca="1">AB242</f>
        <v>0.99347957242279872</v>
      </c>
      <c r="L143" s="1"/>
      <c r="M143" s="1"/>
      <c r="AB143" s="2" t="str">
        <f>""&amp;FIXED(F37,0,TRUE)&amp;" Does"</f>
        <v>400 Does</v>
      </c>
      <c r="AC143" s="2">
        <f t="shared" si="31"/>
        <v>0.04</v>
      </c>
    </row>
    <row r="144" spans="1:29" ht="15.75" x14ac:dyDescent="0.25">
      <c r="A144" s="30" t="s">
        <v>212</v>
      </c>
      <c r="B144" s="26"/>
      <c r="C144" s="31"/>
      <c r="D144" s="88"/>
      <c r="E144" s="53">
        <f>CapitalInvestment!D38</f>
        <v>31.406040000000004</v>
      </c>
      <c r="F144" s="87"/>
      <c r="G144" s="55">
        <f>AB190</f>
        <v>31.406040000000004</v>
      </c>
      <c r="H144" s="182">
        <f>AC159</f>
        <v>3.8440685434516529E-2</v>
      </c>
      <c r="I144" s="56">
        <f>AB191</f>
        <v>12562.416000000001</v>
      </c>
      <c r="J144" s="13">
        <f ca="1">AB243</f>
        <v>0.3987821804061133</v>
      </c>
      <c r="K144" s="13">
        <f ca="1">AB244</f>
        <v>0.3987821804061133</v>
      </c>
      <c r="L144" s="1"/>
      <c r="M144" s="1"/>
      <c r="AB144" s="2" t="str">
        <f>" "&amp;FIXED(E5,0,TRUE)&amp;" Does"</f>
        <v xml:space="preserve"> 400 Does</v>
      </c>
      <c r="AC144" s="2">
        <f t="shared" si="31"/>
        <v>0</v>
      </c>
    </row>
    <row r="145" spans="1:29" ht="15.75" x14ac:dyDescent="0.25">
      <c r="A145" s="30" t="s">
        <v>85</v>
      </c>
      <c r="B145" s="26"/>
      <c r="C145" s="37"/>
      <c r="D145" s="88"/>
      <c r="E145" s="53"/>
      <c r="F145" s="87"/>
      <c r="G145" s="55">
        <f>AB195</f>
        <v>0</v>
      </c>
      <c r="H145" s="182">
        <f>AC160</f>
        <v>0</v>
      </c>
      <c r="I145" s="56">
        <f>AB196</f>
        <v>0</v>
      </c>
      <c r="J145" s="13">
        <f ca="1">AB245</f>
        <v>0.48869803534771317</v>
      </c>
      <c r="K145" s="13">
        <f ca="1">AB246</f>
        <v>0.48869803534771317</v>
      </c>
      <c r="L145" s="1"/>
      <c r="M145" s="1"/>
      <c r="AB145" s="2">
        <f>IF(E119&lt;&gt;0,E119,F119/E5)</f>
        <v>53</v>
      </c>
      <c r="AC145" s="2">
        <f t="shared" si="31"/>
        <v>0</v>
      </c>
    </row>
    <row r="146" spans="1:29" ht="15.75" x14ac:dyDescent="0.25">
      <c r="A146" s="30" t="s">
        <v>155</v>
      </c>
      <c r="B146" s="26"/>
      <c r="C146" s="37"/>
      <c r="D146" s="88"/>
      <c r="E146" s="53">
        <f>10.1+12.54+16.78</f>
        <v>39.42</v>
      </c>
      <c r="F146" s="87"/>
      <c r="G146" s="55">
        <f>AB198</f>
        <v>39.42</v>
      </c>
      <c r="H146" s="182">
        <f>AC161</f>
        <v>4.8249694002447982E-2</v>
      </c>
      <c r="I146" s="56">
        <f>AB199</f>
        <v>15768</v>
      </c>
      <c r="J146" s="10"/>
      <c r="K146" s="10"/>
      <c r="L146" s="1"/>
      <c r="M146" s="1"/>
      <c r="AB146" s="2">
        <f>G119*E5</f>
        <v>21200</v>
      </c>
      <c r="AC146" s="2">
        <f t="shared" si="31"/>
        <v>0</v>
      </c>
    </row>
    <row r="147" spans="1:29" ht="15.75" x14ac:dyDescent="0.25">
      <c r="A147" s="75" t="s">
        <v>154</v>
      </c>
      <c r="B147" s="40"/>
      <c r="C147" s="37"/>
      <c r="D147" s="40"/>
      <c r="E147" s="37"/>
      <c r="F147" s="37"/>
      <c r="G147" s="38" t="s">
        <v>56</v>
      </c>
      <c r="H147" s="38" t="s">
        <v>56</v>
      </c>
      <c r="I147" s="71" t="s">
        <v>56</v>
      </c>
      <c r="J147" s="1"/>
      <c r="K147" s="1"/>
      <c r="L147" s="1"/>
      <c r="M147" s="1"/>
      <c r="AB147" s="2">
        <f>IF(E120&lt;&gt;0,E120,F120/E5)</f>
        <v>18.38</v>
      </c>
      <c r="AC147" s="2">
        <f t="shared" si="31"/>
        <v>1.6527845777233784E-2</v>
      </c>
    </row>
    <row r="148" spans="1:29" ht="15.75" x14ac:dyDescent="0.25">
      <c r="A148" s="30" t="s">
        <v>89</v>
      </c>
      <c r="B148" s="26"/>
      <c r="C148" s="37"/>
      <c r="D148" s="26"/>
      <c r="E148" s="26"/>
      <c r="F148" s="40"/>
      <c r="G148" s="55">
        <f>AB200</f>
        <v>173.64699000000002</v>
      </c>
      <c r="H148" s="55">
        <f>AC163</f>
        <v>0.21254221542227664</v>
      </c>
      <c r="I148" s="56">
        <f>AB201</f>
        <v>69458.796000000002</v>
      </c>
      <c r="J148" s="1"/>
      <c r="K148" s="1"/>
      <c r="L148" s="1"/>
      <c r="M148" s="1"/>
      <c r="AB148" s="2">
        <f>G120*E5</f>
        <v>7352</v>
      </c>
      <c r="AC148" s="2">
        <f t="shared" si="31"/>
        <v>2.9489596083231335E-2</v>
      </c>
    </row>
    <row r="149" spans="1:29" ht="15.75" x14ac:dyDescent="0.25">
      <c r="A149" s="92"/>
      <c r="B149" s="93"/>
      <c r="C149" s="94"/>
      <c r="D149" s="93"/>
      <c r="E149" s="93"/>
      <c r="F149" s="95"/>
      <c r="G149" s="96"/>
      <c r="H149" s="96"/>
      <c r="I149" s="97"/>
      <c r="J149" s="1"/>
      <c r="K149" s="1"/>
      <c r="L149" s="1"/>
      <c r="M149" s="1"/>
      <c r="AB149" s="2">
        <f>IF(E121&lt;&gt;0,E121,F121/E5)</f>
        <v>3.65</v>
      </c>
      <c r="AC149" s="2">
        <f t="shared" si="31"/>
        <v>0</v>
      </c>
    </row>
    <row r="150" spans="1:29" ht="15.75" x14ac:dyDescent="0.25">
      <c r="A150" s="41"/>
      <c r="B150" s="26"/>
      <c r="C150" s="37"/>
      <c r="D150" s="26"/>
      <c r="E150" s="26"/>
      <c r="F150" s="40"/>
      <c r="G150" s="40"/>
      <c r="H150" s="40"/>
      <c r="I150" s="35"/>
      <c r="J150" s="10"/>
      <c r="K150" s="10"/>
      <c r="L150" s="1"/>
      <c r="M150" s="1"/>
      <c r="AB150" s="2">
        <f>G121*E5</f>
        <v>1460</v>
      </c>
      <c r="AC150" s="2">
        <f t="shared" si="31"/>
        <v>2.0379436964504283E-2</v>
      </c>
    </row>
    <row r="151" spans="1:29" ht="15.75" x14ac:dyDescent="0.25">
      <c r="A151" s="30" t="s">
        <v>91</v>
      </c>
      <c r="B151" s="26"/>
      <c r="C151" s="26"/>
      <c r="D151" s="38" t="s">
        <v>42</v>
      </c>
      <c r="E151" s="83" t="s">
        <v>144</v>
      </c>
      <c r="F151" s="38" t="s">
        <v>27</v>
      </c>
      <c r="G151" s="40"/>
      <c r="H151" s="40"/>
      <c r="I151" s="35"/>
      <c r="J151" s="10"/>
      <c r="K151" s="10"/>
      <c r="L151" s="1"/>
      <c r="M151" s="1"/>
      <c r="AB151" s="2">
        <f>IF(E122&lt;&gt;0,E122,F122/E5)</f>
        <v>0</v>
      </c>
    </row>
    <row r="152" spans="1:29" ht="15.75" x14ac:dyDescent="0.25">
      <c r="A152" s="30" t="s">
        <v>92</v>
      </c>
      <c r="B152" s="31"/>
      <c r="C152" s="31"/>
      <c r="D152" s="55">
        <f>AB205</f>
        <v>796.08749999999998</v>
      </c>
      <c r="E152" s="83">
        <f>AC167</f>
        <v>0.97440330477356185</v>
      </c>
      <c r="F152" s="76">
        <f>AB206</f>
        <v>318435</v>
      </c>
      <c r="G152" s="31"/>
      <c r="H152" s="31"/>
      <c r="I152" s="46"/>
      <c r="J152" s="10"/>
      <c r="K152" s="10"/>
      <c r="L152" s="10"/>
      <c r="M152" s="1"/>
      <c r="AB152" s="2">
        <f>G122*E5</f>
        <v>0</v>
      </c>
      <c r="AC152" s="2">
        <f ca="1">I137/$E$32</f>
        <v>6.0679314565483472E-3</v>
      </c>
    </row>
    <row r="153" spans="1:29" ht="15.75" x14ac:dyDescent="0.25">
      <c r="A153" s="30" t="s">
        <v>93</v>
      </c>
      <c r="B153" s="26"/>
      <c r="C153" s="26"/>
      <c r="D153" s="55">
        <f ca="1">AB207</f>
        <v>613.03856250000001</v>
      </c>
      <c r="E153" s="83">
        <f ca="1">AC168</f>
        <v>0.75035319767441855</v>
      </c>
      <c r="F153" s="76">
        <f ca="1">AB208</f>
        <v>245215.42499999999</v>
      </c>
      <c r="G153" s="98"/>
      <c r="H153" s="98"/>
      <c r="I153" s="35"/>
      <c r="J153" s="10"/>
      <c r="K153" s="10"/>
      <c r="L153" s="10"/>
      <c r="M153" s="1"/>
      <c r="AB153" s="2">
        <f>IF(E123&lt;&gt;0,E123,F123/E5)</f>
        <v>57.74</v>
      </c>
      <c r="AC153" s="2">
        <f>I138/$E$32</f>
        <v>0</v>
      </c>
    </row>
    <row r="154" spans="1:29" ht="15.75" x14ac:dyDescent="0.25">
      <c r="A154" s="75"/>
      <c r="B154" s="26"/>
      <c r="C154" s="26"/>
      <c r="D154" s="38" t="s">
        <v>56</v>
      </c>
      <c r="E154" s="83"/>
      <c r="F154" s="38" t="s">
        <v>56</v>
      </c>
      <c r="G154" s="98"/>
      <c r="H154" s="98"/>
      <c r="I154" s="33"/>
      <c r="J154" s="10"/>
      <c r="K154" s="10"/>
      <c r="L154" s="10"/>
      <c r="M154" s="1"/>
      <c r="AB154" s="2">
        <f>G123*E5</f>
        <v>23096</v>
      </c>
      <c r="AC154" s="2">
        <f ca="1">I139/$E$32</f>
        <v>0.75035319767441855</v>
      </c>
    </row>
    <row r="155" spans="1:29" ht="15.75" x14ac:dyDescent="0.25">
      <c r="A155" s="30" t="s">
        <v>254</v>
      </c>
      <c r="B155" s="26"/>
      <c r="C155" s="26"/>
      <c r="D155" s="55">
        <f ca="1">AB209</f>
        <v>183.04893750000002</v>
      </c>
      <c r="E155" s="83">
        <f ca="1">AC170</f>
        <v>0.22405010709914325</v>
      </c>
      <c r="F155" s="76">
        <f ca="1">AB210</f>
        <v>73219.575000000012</v>
      </c>
      <c r="G155" s="40"/>
      <c r="H155" s="40"/>
      <c r="I155" s="35"/>
      <c r="J155" s="1"/>
      <c r="K155" s="1"/>
      <c r="L155" s="10"/>
      <c r="M155" s="1"/>
      <c r="AB155" s="2">
        <f>IF(E124&lt;&gt;0,E124,F124/E5)</f>
        <v>34.93</v>
      </c>
    </row>
    <row r="156" spans="1:29" ht="15.75" x14ac:dyDescent="0.25">
      <c r="A156" s="30" t="s">
        <v>94</v>
      </c>
      <c r="B156" s="26"/>
      <c r="C156" s="37"/>
      <c r="D156" s="55">
        <f>AB211</f>
        <v>173.64699000000002</v>
      </c>
      <c r="E156" s="83">
        <f>AC171</f>
        <v>0.21254221542227664</v>
      </c>
      <c r="F156" s="76">
        <f>AB212</f>
        <v>69458.796000000002</v>
      </c>
      <c r="G156" s="98"/>
      <c r="H156" s="98"/>
      <c r="I156" s="99"/>
      <c r="J156" s="1"/>
      <c r="K156" s="1"/>
      <c r="L156" s="10"/>
      <c r="M156" s="1"/>
      <c r="AB156" s="2">
        <f>G124*E5</f>
        <v>13972</v>
      </c>
    </row>
    <row r="157" spans="1:29" ht="15.75" x14ac:dyDescent="0.25">
      <c r="A157" s="75"/>
      <c r="B157" s="26"/>
      <c r="C157" s="37"/>
      <c r="D157" s="38" t="s">
        <v>56</v>
      </c>
      <c r="E157" s="83"/>
      <c r="F157" s="38" t="s">
        <v>56</v>
      </c>
      <c r="G157" s="40"/>
      <c r="H157" s="40"/>
      <c r="I157" s="35"/>
      <c r="J157" s="1"/>
      <c r="K157" s="1"/>
      <c r="L157" s="1"/>
      <c r="M157" s="1"/>
      <c r="AB157" s="2">
        <f>IF(E125&lt;&gt;0,E125,F125/E5)</f>
        <v>28.03</v>
      </c>
    </row>
    <row r="158" spans="1:29" ht="15.75" x14ac:dyDescent="0.25">
      <c r="A158" s="30" t="s">
        <v>95</v>
      </c>
      <c r="B158" s="26"/>
      <c r="C158" s="26"/>
      <c r="D158" s="55">
        <f ca="1">AB213</f>
        <v>9.4019475000000234</v>
      </c>
      <c r="E158" s="83">
        <f ca="1">AC173</f>
        <v>1.1507891676866614E-2</v>
      </c>
      <c r="F158" s="76">
        <f ca="1">AB214</f>
        <v>3760.7790000000095</v>
      </c>
      <c r="G158" s="37"/>
      <c r="H158" s="37"/>
      <c r="I158" s="35"/>
      <c r="J158" s="10"/>
      <c r="K158" s="10"/>
      <c r="L158" s="1"/>
      <c r="M158" s="1"/>
      <c r="AB158" s="2">
        <f>G125*E5</f>
        <v>11212</v>
      </c>
      <c r="AC158" s="2">
        <f>I143/$E$32</f>
        <v>0.12585183598531213</v>
      </c>
    </row>
    <row r="159" spans="1:29" ht="15.75" x14ac:dyDescent="0.25">
      <c r="A159" s="30"/>
      <c r="B159" s="26"/>
      <c r="C159" s="31"/>
      <c r="D159" s="37"/>
      <c r="E159" s="26"/>
      <c r="F159" s="37"/>
      <c r="G159" s="40"/>
      <c r="H159" s="40"/>
      <c r="I159" s="99"/>
      <c r="J159" s="10"/>
      <c r="K159" s="10"/>
      <c r="L159" s="1"/>
      <c r="M159" s="1"/>
      <c r="AB159" s="2">
        <f>IF(E126&lt;&gt;0,E126,F126/E5)</f>
        <v>32.68</v>
      </c>
      <c r="AC159" s="2">
        <f>I144/$E$32</f>
        <v>3.8440685434516529E-2</v>
      </c>
    </row>
    <row r="160" spans="1:29" ht="15.75" x14ac:dyDescent="0.25">
      <c r="A160" s="41"/>
      <c r="B160" s="31"/>
      <c r="C160" s="37"/>
      <c r="D160" s="26"/>
      <c r="E160" s="26"/>
      <c r="F160" s="40"/>
      <c r="G160" s="37"/>
      <c r="H160" s="37"/>
      <c r="I160" s="99"/>
      <c r="J160" s="10"/>
      <c r="K160" s="10"/>
      <c r="L160" s="10"/>
      <c r="M160" s="1"/>
      <c r="AB160" s="2">
        <f>G126*E5</f>
        <v>13072</v>
      </c>
      <c r="AC160" s="2">
        <f>I145/$E$32</f>
        <v>0</v>
      </c>
    </row>
    <row r="161" spans="1:29" ht="15.75" x14ac:dyDescent="0.25">
      <c r="A161" s="30"/>
      <c r="B161" s="27" t="s">
        <v>158</v>
      </c>
      <c r="C161" s="37"/>
      <c r="D161" s="26"/>
      <c r="E161" s="26"/>
      <c r="F161" s="38" t="s">
        <v>156</v>
      </c>
      <c r="G161" s="38" t="s">
        <v>157</v>
      </c>
      <c r="H161" s="38"/>
      <c r="I161" s="99"/>
      <c r="J161" s="10"/>
      <c r="K161" s="10"/>
      <c r="L161" s="10"/>
      <c r="M161" s="1"/>
      <c r="AB161" s="2">
        <f>IF(E127&lt;&gt;0,E127,F127/E5)</f>
        <v>0</v>
      </c>
      <c r="AC161" s="2">
        <f>I146/$E$32</f>
        <v>4.8249694002447982E-2</v>
      </c>
    </row>
    <row r="162" spans="1:29" ht="15.75" x14ac:dyDescent="0.25">
      <c r="A162" s="30"/>
      <c r="B162" s="27" t="s">
        <v>96</v>
      </c>
      <c r="C162" s="37"/>
      <c r="D162" s="27" t="s">
        <v>97</v>
      </c>
      <c r="E162" s="26"/>
      <c r="F162" s="55">
        <f ca="1">AB207</f>
        <v>613.03856250000001</v>
      </c>
      <c r="G162" s="55">
        <f ca="1">AC168</f>
        <v>0.75035319767441855</v>
      </c>
      <c r="H162" s="55"/>
      <c r="I162" s="99"/>
      <c r="J162" s="10"/>
      <c r="K162" s="10"/>
      <c r="L162" s="10"/>
      <c r="M162" s="1"/>
      <c r="AB162" s="2">
        <f>G127*E5</f>
        <v>0</v>
      </c>
    </row>
    <row r="163" spans="1:29" ht="15.75" x14ac:dyDescent="0.25">
      <c r="A163" s="75"/>
      <c r="B163" s="26"/>
      <c r="C163" s="37"/>
      <c r="D163" s="27" t="s">
        <v>98</v>
      </c>
      <c r="E163" s="26"/>
      <c r="F163" s="55">
        <f>AB211</f>
        <v>173.64699000000002</v>
      </c>
      <c r="G163" s="55">
        <f>AC171</f>
        <v>0.21254221542227664</v>
      </c>
      <c r="H163" s="55"/>
      <c r="I163" s="99"/>
      <c r="J163" s="10"/>
      <c r="K163" s="10"/>
      <c r="L163" s="10"/>
      <c r="M163" s="1"/>
      <c r="AB163" s="2">
        <f>IF(E128&lt;&gt;0,E128,F128/E5)</f>
        <v>0</v>
      </c>
      <c r="AC163" s="2">
        <f>I148/$E$32</f>
        <v>0.21254221542227664</v>
      </c>
    </row>
    <row r="164" spans="1:29" ht="15.75" x14ac:dyDescent="0.25">
      <c r="A164" s="75"/>
      <c r="B164" s="26"/>
      <c r="C164" s="37"/>
      <c r="D164" s="26"/>
      <c r="E164" s="26"/>
      <c r="F164" s="38" t="s">
        <v>56</v>
      </c>
      <c r="G164" s="38" t="s">
        <v>56</v>
      </c>
      <c r="H164" s="38"/>
      <c r="I164" s="99"/>
      <c r="J164" s="10"/>
      <c r="K164" s="10"/>
      <c r="L164" s="10"/>
      <c r="M164" s="1"/>
      <c r="AB164" s="2">
        <f>G128*E5</f>
        <v>0</v>
      </c>
    </row>
    <row r="165" spans="1:29" ht="15.75" x14ac:dyDescent="0.25">
      <c r="A165" s="75"/>
      <c r="B165" s="26"/>
      <c r="C165" s="37"/>
      <c r="D165" s="27" t="s">
        <v>99</v>
      </c>
      <c r="E165" s="26"/>
      <c r="F165" s="55">
        <f ca="1">AB202</f>
        <v>786.68555250000009</v>
      </c>
      <c r="G165" s="55">
        <f ca="1">AB203</f>
        <v>0.96289541309669513</v>
      </c>
      <c r="H165" s="55"/>
      <c r="I165" s="99"/>
      <c r="J165" s="10"/>
      <c r="K165" s="10"/>
      <c r="L165" s="10"/>
      <c r="M165" s="1"/>
      <c r="AB165" s="2" t="str">
        <f>" "&amp;FIXED(E5,0,TRUE)&amp;" Does"</f>
        <v xml:space="preserve"> 400 Does</v>
      </c>
    </row>
    <row r="166" spans="1:29" ht="15.75" x14ac:dyDescent="0.25">
      <c r="A166" s="68"/>
      <c r="B166" s="68"/>
      <c r="C166" s="68"/>
      <c r="D166" s="68"/>
      <c r="E166" s="68"/>
      <c r="F166" s="68"/>
      <c r="G166" s="68"/>
      <c r="H166" s="68"/>
      <c r="I166" s="68"/>
      <c r="J166" s="10"/>
      <c r="K166" s="10"/>
      <c r="L166" s="10"/>
      <c r="M166" s="1"/>
      <c r="AB166" s="2">
        <f ca="1">IF(L93=0,0,HLOOKUP(A2,INDIRECT(L22),2,FALSE)*INDIRECT(L93)*0.01)</f>
        <v>0</v>
      </c>
    </row>
    <row r="167" spans="1:29" ht="15.75" x14ac:dyDescent="0.25">
      <c r="A167" s="41"/>
      <c r="B167" s="27" t="s">
        <v>100</v>
      </c>
      <c r="C167" s="26"/>
      <c r="D167" s="26"/>
      <c r="E167" s="26"/>
      <c r="F167" s="40"/>
      <c r="G167" s="100">
        <f ca="1">AB222</f>
        <v>0.51130196465228683</v>
      </c>
      <c r="H167" s="100"/>
      <c r="I167" s="101" t="s">
        <v>101</v>
      </c>
      <c r="J167" s="10"/>
      <c r="K167" s="10"/>
      <c r="L167" s="10"/>
      <c r="M167" s="1"/>
      <c r="AB167" s="2">
        <f>IF(E129&lt;&gt;0,E129,F129/E5)</f>
        <v>0</v>
      </c>
      <c r="AC167" s="2">
        <f t="shared" ref="AC167:AC173" si="32">F152/$E$32</f>
        <v>0.97440330477356185</v>
      </c>
    </row>
    <row r="168" spans="1:29" ht="15.75" x14ac:dyDescent="0.25">
      <c r="A168" s="75"/>
      <c r="B168" s="27" t="s">
        <v>102</v>
      </c>
      <c r="C168" s="26"/>
      <c r="D168" s="34">
        <v>0</v>
      </c>
      <c r="E168" s="27" t="s">
        <v>103</v>
      </c>
      <c r="F168" s="31"/>
      <c r="G168" s="100">
        <f ca="1">AB224</f>
        <v>0.51130196465228683</v>
      </c>
      <c r="H168" s="100"/>
      <c r="I168" s="101" t="s">
        <v>104</v>
      </c>
      <c r="J168" s="10"/>
      <c r="K168" s="10"/>
      <c r="L168" s="10"/>
      <c r="M168" s="1"/>
      <c r="AB168" s="2">
        <f>G129*E5</f>
        <v>0</v>
      </c>
      <c r="AC168" s="2">
        <f t="shared" ca="1" si="32"/>
        <v>0.75035319767441855</v>
      </c>
    </row>
    <row r="169" spans="1:29" ht="15.75" x14ac:dyDescent="0.25">
      <c r="A169" s="41"/>
      <c r="B169" s="168" t="s">
        <v>202</v>
      </c>
      <c r="C169" s="169"/>
      <c r="D169" s="170" t="s">
        <v>203</v>
      </c>
      <c r="E169" s="26"/>
      <c r="F169" s="37"/>
      <c r="G169" s="55">
        <f>AB225</f>
        <v>0.41682811242049456</v>
      </c>
      <c r="H169" s="55"/>
      <c r="I169" s="171" t="str">
        <f>IF(G169&lt;=0.2499,"Low Risk",IF(AND(G169&gt;0.2499,G169&lt;0.4),"Moderate Risk","High Risk"))</f>
        <v>High Risk</v>
      </c>
      <c r="J169" s="10"/>
      <c r="K169" s="10"/>
      <c r="L169" s="10"/>
      <c r="M169" s="1"/>
      <c r="AB169" s="2">
        <f ca="1">IF(L94=0,0,HLOOKUP(A2,INDIRECT(L22),3,FALSE)*INDIRECT(L94)*0.01)</f>
        <v>0</v>
      </c>
      <c r="AC169" s="2">
        <f t="shared" si="32"/>
        <v>0</v>
      </c>
    </row>
    <row r="170" spans="1:29" ht="15.75" x14ac:dyDescent="0.25">
      <c r="A170" s="75"/>
      <c r="B170" s="26"/>
      <c r="C170" s="37"/>
      <c r="D170" s="26"/>
      <c r="E170" s="26"/>
      <c r="F170" s="98"/>
      <c r="G170" s="26"/>
      <c r="H170" s="26"/>
      <c r="I170" s="101" t="s">
        <v>105</v>
      </c>
      <c r="J170" s="10"/>
      <c r="K170" s="10"/>
      <c r="L170" s="10"/>
      <c r="M170" s="1"/>
      <c r="AB170" s="2">
        <f>IF(E130&lt;&gt;0,E130,F130/E5)</f>
        <v>13.503250000000001</v>
      </c>
      <c r="AC170" s="2">
        <f t="shared" ca="1" si="32"/>
        <v>0.22405010709914325</v>
      </c>
    </row>
    <row r="171" spans="1:29" ht="15.75" x14ac:dyDescent="0.25">
      <c r="A171" s="41"/>
      <c r="B171" s="31"/>
      <c r="C171" s="38" t="s">
        <v>106</v>
      </c>
      <c r="D171" s="38"/>
      <c r="E171" s="38" t="s">
        <v>107</v>
      </c>
      <c r="F171" s="38"/>
      <c r="G171" s="31"/>
      <c r="H171" s="31"/>
      <c r="I171" s="101" t="s">
        <v>108</v>
      </c>
      <c r="J171" s="10"/>
      <c r="K171" s="10"/>
      <c r="L171" s="10"/>
      <c r="M171" s="1"/>
      <c r="AB171" s="2">
        <f>G130*E5</f>
        <v>5401.3</v>
      </c>
      <c r="AC171" s="2">
        <f t="shared" si="32"/>
        <v>0.21254221542227664</v>
      </c>
    </row>
    <row r="172" spans="1:29" ht="15.75" x14ac:dyDescent="0.25">
      <c r="A172" s="75"/>
      <c r="B172" s="26"/>
      <c r="C172" s="76"/>
      <c r="D172" s="77"/>
      <c r="E172" s="38" t="s">
        <v>109</v>
      </c>
      <c r="F172" s="100"/>
      <c r="G172" s="37"/>
      <c r="H172" s="37"/>
      <c r="I172" s="101" t="s">
        <v>110</v>
      </c>
      <c r="J172" s="10"/>
      <c r="K172" s="10"/>
      <c r="L172" s="10"/>
      <c r="M172" s="1"/>
      <c r="AB172" s="2">
        <f ca="1">IF(L95=0,0,HLOOKUP(A2,INDIRECT(L22),4,FALSE)*INDIRECT(L95)*0.01)</f>
        <v>0</v>
      </c>
      <c r="AC172" s="2">
        <f t="shared" si="32"/>
        <v>0</v>
      </c>
    </row>
    <row r="173" spans="1:29" ht="15.75" x14ac:dyDescent="0.25">
      <c r="A173" s="75"/>
      <c r="B173" s="26"/>
      <c r="C173" s="38"/>
      <c r="D173" s="77"/>
      <c r="E173" s="77"/>
      <c r="F173" s="55"/>
      <c r="G173" s="37"/>
      <c r="H173" s="37"/>
      <c r="I173" s="101" t="s">
        <v>111</v>
      </c>
      <c r="J173" s="1"/>
      <c r="K173" s="1"/>
      <c r="L173" s="10"/>
      <c r="M173" s="1"/>
      <c r="AB173" s="2">
        <f>IF(E131&lt;&gt;0,E131,F131/E5)</f>
        <v>24.093000000000004</v>
      </c>
      <c r="AC173" s="2">
        <f t="shared" ca="1" si="32"/>
        <v>1.1507891676866614E-2</v>
      </c>
    </row>
    <row r="174" spans="1:29" ht="15.75" x14ac:dyDescent="0.25">
      <c r="A174" s="75"/>
      <c r="B174" s="26"/>
      <c r="C174" s="76">
        <f ca="1">AB229</f>
        <v>331.27864794815395</v>
      </c>
      <c r="D174" s="38"/>
      <c r="E174" s="38" t="s">
        <v>112</v>
      </c>
      <c r="F174" s="55"/>
      <c r="G174" s="37"/>
      <c r="H174" s="37"/>
      <c r="I174" s="101" t="s">
        <v>113</v>
      </c>
      <c r="J174" s="1"/>
      <c r="K174" s="1"/>
      <c r="L174" s="10"/>
      <c r="M174" s="1"/>
      <c r="AB174" s="2">
        <f>G131*E5</f>
        <v>9637.2000000000007</v>
      </c>
    </row>
    <row r="175" spans="1:29" ht="15.75" x14ac:dyDescent="0.25">
      <c r="A175" s="75"/>
      <c r="B175" s="26"/>
      <c r="C175" s="76">
        <f ca="1">AB231</f>
        <v>152.08955697701671</v>
      </c>
      <c r="D175" s="77"/>
      <c r="E175" s="38" t="s">
        <v>114</v>
      </c>
      <c r="F175" s="77"/>
      <c r="G175" s="26"/>
      <c r="H175" s="26"/>
      <c r="I175" s="101" t="s">
        <v>115</v>
      </c>
      <c r="J175" s="1"/>
      <c r="K175" s="1"/>
      <c r="L175" s="1"/>
      <c r="M175" s="1"/>
      <c r="AB175" s="2">
        <f ca="1">IF(L96=0,0,HLOOKUP(A2,INDIRECT(L22),5,FALSE)*INDIRECT(L96)*0.01)</f>
        <v>0</v>
      </c>
    </row>
    <row r="176" spans="1:29" ht="15.75" x14ac:dyDescent="0.25">
      <c r="A176" s="75"/>
      <c r="B176" s="26"/>
      <c r="C176" s="76">
        <f ca="1">AB233</f>
        <v>9.4019475000000234</v>
      </c>
      <c r="D176" s="77"/>
      <c r="E176" s="38" t="s">
        <v>116</v>
      </c>
      <c r="F176" s="55"/>
      <c r="G176" s="37"/>
      <c r="H176" s="37"/>
      <c r="I176" s="101" t="s">
        <v>117</v>
      </c>
      <c r="J176" s="1"/>
      <c r="K176" s="1"/>
      <c r="L176" s="1"/>
      <c r="M176" s="1"/>
      <c r="AB176" s="2">
        <f ca="1">IF(L97=0,0,HLOOKUP(A2,INDIRECT(L22),6,FALSE)*INDIRECT(L97)*0.01)</f>
        <v>0</v>
      </c>
    </row>
    <row r="177" spans="1:28" ht="15.75" x14ac:dyDescent="0.25">
      <c r="A177" s="75"/>
      <c r="B177" s="26"/>
      <c r="C177" s="76">
        <f ca="1">AB235</f>
        <v>-133.28566197701664</v>
      </c>
      <c r="D177" s="77"/>
      <c r="E177" s="38" t="s">
        <v>118</v>
      </c>
      <c r="F177" s="55"/>
      <c r="G177" s="37"/>
      <c r="H177" s="37"/>
      <c r="I177" s="101" t="s">
        <v>119</v>
      </c>
      <c r="J177" s="1"/>
      <c r="K177" s="1"/>
      <c r="L177" s="1"/>
      <c r="M177" s="1"/>
      <c r="AB177" s="2">
        <f>IF(E133&lt;&gt;0,E133,F133/E5)</f>
        <v>16.649999999999999</v>
      </c>
    </row>
    <row r="178" spans="1:28" ht="15.75" x14ac:dyDescent="0.25">
      <c r="A178" s="75"/>
      <c r="B178" s="26"/>
      <c r="C178" s="76">
        <f ca="1">AB237</f>
        <v>-312.47475294815393</v>
      </c>
      <c r="D178" s="77"/>
      <c r="E178" s="38" t="s">
        <v>120</v>
      </c>
      <c r="F178" s="55"/>
      <c r="G178" s="37"/>
      <c r="H178" s="37"/>
      <c r="I178" s="99"/>
      <c r="J178" s="1"/>
      <c r="K178" s="1"/>
      <c r="L178" s="1"/>
      <c r="M178" s="1"/>
      <c r="AB178" s="2">
        <f>G133*E5</f>
        <v>6659.9999999999991</v>
      </c>
    </row>
    <row r="179" spans="1:28" ht="15.75" x14ac:dyDescent="0.25">
      <c r="A179" s="75"/>
      <c r="B179" s="26"/>
      <c r="C179" s="77"/>
      <c r="D179" s="77"/>
      <c r="E179" s="55"/>
      <c r="F179" s="55"/>
      <c r="G179" s="37"/>
      <c r="H179" s="37"/>
      <c r="I179" s="102" t="s">
        <v>121</v>
      </c>
      <c r="J179" s="1"/>
      <c r="K179" s="1"/>
      <c r="L179" s="1"/>
      <c r="M179" s="1"/>
      <c r="AB179" s="2">
        <f ca="1">IF(L100=0,0,HLOOKUP(A2,INDIRECT(L22),7,FALSE)*INDIRECT(L100)*0.01)</f>
        <v>0</v>
      </c>
    </row>
    <row r="180" spans="1:28" ht="15.75" x14ac:dyDescent="0.25">
      <c r="A180" s="103"/>
      <c r="B180" s="104"/>
      <c r="C180" s="104"/>
      <c r="D180" s="104"/>
      <c r="E180" s="104"/>
      <c r="F180" s="104"/>
      <c r="G180" s="104"/>
      <c r="H180" s="104"/>
      <c r="I180" s="105"/>
      <c r="J180" s="1"/>
      <c r="K180" s="1"/>
      <c r="L180" s="1"/>
      <c r="M180" s="1"/>
      <c r="AB180" s="2">
        <f ca="1">I137/E5</f>
        <v>4.9574999999999996</v>
      </c>
    </row>
    <row r="181" spans="1:28" ht="15.75" x14ac:dyDescent="0.25">
      <c r="A181" s="106"/>
      <c r="B181" s="107"/>
      <c r="C181" s="107"/>
      <c r="D181" s="108" t="s">
        <v>122</v>
      </c>
      <c r="E181" s="107"/>
      <c r="F181" s="107"/>
      <c r="G181" s="107"/>
      <c r="H181" s="107"/>
      <c r="I181" s="109"/>
      <c r="J181" s="1"/>
      <c r="K181" s="1"/>
      <c r="L181" s="1"/>
      <c r="M181" s="1"/>
      <c r="AB181" s="2">
        <f ca="1">IF(E137=0,K101,IF(INDIRECT(L100)&gt;0,E137,K101))</f>
        <v>1983</v>
      </c>
    </row>
    <row r="182" spans="1:28" ht="15.75" x14ac:dyDescent="0.25">
      <c r="A182" s="110"/>
      <c r="B182" s="107"/>
      <c r="C182" s="107"/>
      <c r="D182" s="107"/>
      <c r="E182" s="107"/>
      <c r="F182" s="107"/>
      <c r="G182" s="107"/>
      <c r="H182" s="107"/>
      <c r="I182" s="109"/>
      <c r="J182" s="1"/>
      <c r="K182" s="1"/>
      <c r="L182" s="1"/>
      <c r="M182" s="1"/>
      <c r="AB182" s="2">
        <f ca="1">I139/E5</f>
        <v>613.03856250000001</v>
      </c>
    </row>
    <row r="183" spans="1:28" ht="15.75" x14ac:dyDescent="0.25">
      <c r="A183" s="111"/>
      <c r="B183" s="107"/>
      <c r="C183" s="107"/>
      <c r="D183" s="111" t="s">
        <v>123</v>
      </c>
      <c r="E183" s="112"/>
      <c r="F183" s="112"/>
      <c r="G183" s="107"/>
      <c r="H183" s="107"/>
      <c r="I183" s="109"/>
      <c r="J183" s="1"/>
      <c r="K183" s="1"/>
      <c r="L183" s="1"/>
      <c r="M183" s="1"/>
      <c r="AB183" s="4">
        <f ca="1">SUM(I105:I137)</f>
        <v>245215.42499999999</v>
      </c>
    </row>
    <row r="184" spans="1:28" ht="15.75" x14ac:dyDescent="0.25">
      <c r="A184" s="113"/>
      <c r="B184" s="107"/>
      <c r="C184" s="107"/>
      <c r="D184" s="111" t="s">
        <v>124</v>
      </c>
      <c r="E184" s="112"/>
      <c r="F184" s="112"/>
      <c r="G184" s="107"/>
      <c r="H184" s="107"/>
      <c r="I184" s="109"/>
      <c r="J184" s="1"/>
      <c r="K184" s="1"/>
      <c r="L184" s="1"/>
      <c r="M184" s="1"/>
      <c r="AB184" s="2">
        <f ca="1">ROUND((SUM(I44:I72,I109:I122,I125:I133))*C137*D137*0.0001,0)</f>
        <v>1983</v>
      </c>
    </row>
    <row r="185" spans="1:28" ht="15.75" x14ac:dyDescent="0.25">
      <c r="A185" s="110"/>
      <c r="B185" s="107"/>
      <c r="C185" s="107"/>
      <c r="D185" s="114" t="s">
        <v>207</v>
      </c>
      <c r="E185" s="112"/>
      <c r="F185" s="112"/>
      <c r="G185" s="107"/>
      <c r="H185" s="107"/>
      <c r="I185" s="109"/>
      <c r="J185" s="1"/>
      <c r="K185" s="1"/>
      <c r="L185" s="1"/>
      <c r="M185" s="1"/>
      <c r="AB185" s="2" t="str">
        <f>" "&amp;FIXED(E5,0,TRUE)&amp;" Does"</f>
        <v xml:space="preserve"> 400 Does</v>
      </c>
    </row>
    <row r="186" spans="1:28" ht="15.75" x14ac:dyDescent="0.25">
      <c r="A186" s="110"/>
      <c r="B186" s="107"/>
      <c r="C186" s="107"/>
      <c r="D186" s="181" t="s">
        <v>125</v>
      </c>
      <c r="E186" s="112"/>
      <c r="F186" s="112"/>
      <c r="G186" s="107"/>
      <c r="H186" s="107"/>
      <c r="I186" s="109"/>
      <c r="J186" s="1"/>
      <c r="K186" s="1"/>
      <c r="L186" s="1"/>
      <c r="M186" s="1"/>
      <c r="AB186" s="2">
        <f ca="1">IF(L106=0,0,HLOOKUP(A2,INDIRECT(L22),9,FALSE)*INDIRECT(L106)*0.01)</f>
        <v>0</v>
      </c>
    </row>
    <row r="187" spans="1:28" ht="15.75" x14ac:dyDescent="0.25">
      <c r="A187" s="115"/>
      <c r="B187" s="116"/>
      <c r="C187" s="116"/>
      <c r="D187" s="116"/>
      <c r="E187" s="117"/>
      <c r="F187" s="117"/>
      <c r="G187" s="118"/>
      <c r="H187" s="118"/>
      <c r="I187" s="119"/>
      <c r="J187" s="1"/>
      <c r="K187" s="1"/>
      <c r="L187" s="1"/>
      <c r="M187" s="1"/>
      <c r="AB187" s="2">
        <f>IF(E143&lt;&gt;0,E143,F143/E5)</f>
        <v>102.82095000000001</v>
      </c>
    </row>
    <row r="188" spans="1:28" ht="15.75" x14ac:dyDescent="0.25">
      <c r="A188" s="120"/>
      <c r="B188" s="120"/>
      <c r="C188" s="107"/>
      <c r="D188" s="107"/>
      <c r="E188" s="120"/>
      <c r="F188" s="107"/>
      <c r="G188" s="121"/>
      <c r="H188" s="121"/>
      <c r="I188" s="122"/>
      <c r="J188" s="1"/>
      <c r="K188" s="1"/>
      <c r="L188" s="1"/>
      <c r="M188" s="1"/>
      <c r="AB188" s="2">
        <f>G143*E5</f>
        <v>41128.380000000005</v>
      </c>
    </row>
    <row r="189" spans="1:28" ht="15.75" x14ac:dyDescent="0.25">
      <c r="A189" s="107"/>
      <c r="B189" s="107"/>
      <c r="C189" s="107"/>
      <c r="D189" s="107"/>
      <c r="E189" s="123"/>
      <c r="F189" s="123"/>
      <c r="G189" s="124"/>
      <c r="H189" s="124"/>
      <c r="I189" s="124"/>
      <c r="J189" s="1"/>
      <c r="K189" s="1"/>
      <c r="L189" s="1"/>
      <c r="M189" s="1"/>
      <c r="AB189" s="2">
        <f ca="1">IF(L107=0,0,HLOOKUP(A2,INDIRECT(L22),10,FALSE)*INDIRECT(L107)*0.01)</f>
        <v>0</v>
      </c>
    </row>
    <row r="190" spans="1:28" ht="15.75" x14ac:dyDescent="0.25">
      <c r="A190" s="107"/>
      <c r="B190" s="120"/>
      <c r="C190" s="107"/>
      <c r="D190" s="107"/>
      <c r="E190" s="107"/>
      <c r="F190" s="123"/>
      <c r="G190" s="124"/>
      <c r="H190" s="124"/>
      <c r="I190" s="124"/>
      <c r="J190" s="1"/>
      <c r="K190" s="1"/>
      <c r="L190" s="1"/>
      <c r="M190" s="1"/>
      <c r="AB190" s="2">
        <f>IF(E144&lt;&gt;0,E144,F144/E5)</f>
        <v>31.406040000000004</v>
      </c>
    </row>
    <row r="191" spans="1:28" ht="15.75" x14ac:dyDescent="0.25">
      <c r="A191" s="107"/>
      <c r="B191" s="124"/>
      <c r="C191" s="107"/>
      <c r="D191" s="107"/>
      <c r="E191" s="107"/>
      <c r="F191" s="123"/>
      <c r="G191" s="124"/>
      <c r="H191" s="124"/>
      <c r="I191" s="124"/>
      <c r="J191" s="1"/>
      <c r="K191" s="1"/>
      <c r="L191" s="1"/>
      <c r="M191" s="1"/>
      <c r="AB191" s="2">
        <f>G144*E5</f>
        <v>12562.416000000001</v>
      </c>
    </row>
    <row r="192" spans="1:28" ht="15.75" x14ac:dyDescent="0.25">
      <c r="A192" s="107"/>
      <c r="B192" s="124"/>
      <c r="C192" s="107"/>
      <c r="D192" s="107"/>
      <c r="E192" s="107"/>
      <c r="F192" s="120"/>
      <c r="G192" s="120"/>
      <c r="H192" s="120"/>
      <c r="I192" s="121"/>
      <c r="J192" s="1"/>
      <c r="K192" s="1"/>
      <c r="L192" s="1"/>
      <c r="M192" s="1"/>
      <c r="AB192" s="2">
        <f>IF(E132&lt;&gt;0,E132,F132/E5)</f>
        <v>0</v>
      </c>
    </row>
    <row r="193" spans="1:28" ht="15.75" x14ac:dyDescent="0.25">
      <c r="A193" s="107"/>
      <c r="B193" s="120"/>
      <c r="C193" s="120"/>
      <c r="D193" s="124"/>
      <c r="E193" s="107"/>
      <c r="F193" s="120"/>
      <c r="G193" s="125"/>
      <c r="H193" s="125"/>
      <c r="I193" s="125"/>
      <c r="J193" s="1"/>
      <c r="K193" s="1"/>
      <c r="L193" s="1"/>
      <c r="M193" s="1"/>
      <c r="AB193" s="2">
        <f>G132*E5</f>
        <v>0</v>
      </c>
    </row>
    <row r="194" spans="1:28" ht="15.75" x14ac:dyDescent="0.25">
      <c r="A194" s="107"/>
      <c r="B194" s="120"/>
      <c r="C194" s="107"/>
      <c r="D194" s="123"/>
      <c r="E194" s="107"/>
      <c r="F194" s="107"/>
      <c r="G194" s="122"/>
      <c r="H194" s="122"/>
      <c r="I194" s="122"/>
      <c r="J194" s="1"/>
      <c r="K194" s="1"/>
      <c r="L194" s="1"/>
      <c r="M194" s="1"/>
      <c r="AB194" s="2">
        <f ca="1">IF(L108=0,0,HLOOKUP(A2,INDIRECT(L22),11,FALSE)*INDIRECT(L108)*0.01)</f>
        <v>0</v>
      </c>
    </row>
    <row r="195" spans="1:28" ht="15.75" x14ac:dyDescent="0.25">
      <c r="A195" s="107"/>
      <c r="B195" s="107"/>
      <c r="C195" s="107"/>
      <c r="D195" s="107"/>
      <c r="E195" s="107"/>
      <c r="F195" s="107"/>
      <c r="G195" s="107"/>
      <c r="H195" s="107"/>
      <c r="I195" s="120"/>
      <c r="J195" s="1"/>
      <c r="K195" s="1"/>
      <c r="L195" s="1"/>
      <c r="M195" s="1"/>
      <c r="AB195" s="2">
        <f>IF(E145&lt;&gt;0,E145,F145/E5)</f>
        <v>0</v>
      </c>
    </row>
    <row r="196" spans="1:28" ht="15.75" x14ac:dyDescent="0.25">
      <c r="A196" s="107"/>
      <c r="B196" s="120"/>
      <c r="C196" s="120"/>
      <c r="D196" s="123"/>
      <c r="E196" s="120"/>
      <c r="F196" s="107"/>
      <c r="G196" s="112"/>
      <c r="H196" s="112"/>
      <c r="I196" s="107"/>
      <c r="J196" s="1"/>
      <c r="K196" s="1"/>
      <c r="L196" s="1"/>
      <c r="M196" s="1"/>
      <c r="AB196" s="2">
        <f>G145*E5</f>
        <v>0</v>
      </c>
    </row>
    <row r="197" spans="1:28" ht="15.75" x14ac:dyDescent="0.25">
      <c r="A197" s="120"/>
      <c r="B197" s="120"/>
      <c r="C197" s="107"/>
      <c r="D197" s="107"/>
      <c r="E197" s="107"/>
      <c r="F197" s="107"/>
      <c r="G197" s="107"/>
      <c r="H197" s="107"/>
      <c r="I197" s="107"/>
      <c r="J197" s="1"/>
      <c r="K197" s="1"/>
      <c r="L197" s="1"/>
      <c r="M197" s="1"/>
      <c r="AB197" s="2">
        <f ca="1">IF(L109=0,0,HLOOKUP(A2,INDIRECT(L22),12,FALSE)*INDIRECT(L109)*0.01)</f>
        <v>0</v>
      </c>
    </row>
    <row r="198" spans="1:28" ht="15.75" x14ac:dyDescent="0.25">
      <c r="A198" s="107"/>
      <c r="B198" s="107"/>
      <c r="C198" s="120"/>
      <c r="D198" s="123"/>
      <c r="E198" s="120"/>
      <c r="F198" s="120"/>
      <c r="G198" s="107"/>
      <c r="H198" s="107"/>
      <c r="I198" s="122"/>
      <c r="J198" s="1"/>
      <c r="K198" s="1"/>
      <c r="L198" s="1"/>
      <c r="M198" s="1"/>
      <c r="AB198" s="2">
        <f>IF(E146&lt;&gt;0,E146,F146/E5)</f>
        <v>39.42</v>
      </c>
    </row>
    <row r="199" spans="1:28" ht="15.75" x14ac:dyDescent="0.25">
      <c r="A199" s="107"/>
      <c r="B199" s="107"/>
      <c r="C199" s="107"/>
      <c r="D199" s="124"/>
      <c r="E199" s="107"/>
      <c r="F199" s="123"/>
      <c r="G199" s="124"/>
      <c r="H199" s="124"/>
      <c r="I199" s="124"/>
      <c r="J199" s="1"/>
      <c r="K199" s="1"/>
      <c r="L199" s="1"/>
      <c r="M199" s="1"/>
      <c r="AB199" s="2">
        <f>G146*E5</f>
        <v>15768</v>
      </c>
    </row>
    <row r="200" spans="1:28" ht="15.75" x14ac:dyDescent="0.25">
      <c r="A200" s="107"/>
      <c r="B200" s="107"/>
      <c r="C200" s="120"/>
      <c r="D200" s="123"/>
      <c r="E200" s="107"/>
      <c r="F200" s="123"/>
      <c r="G200" s="124"/>
      <c r="H200" s="124"/>
      <c r="I200" s="124"/>
      <c r="J200" s="1"/>
      <c r="K200" s="1"/>
      <c r="L200" s="1"/>
      <c r="M200" s="1"/>
      <c r="AB200" s="2">
        <f>I148/E5</f>
        <v>173.64699000000002</v>
      </c>
    </row>
    <row r="201" spans="1:28" ht="15.75" x14ac:dyDescent="0.25">
      <c r="A201" s="107"/>
      <c r="B201" s="107"/>
      <c r="C201" s="107"/>
      <c r="D201" s="107"/>
      <c r="E201" s="107"/>
      <c r="F201" s="123"/>
      <c r="G201" s="124"/>
      <c r="H201" s="124"/>
      <c r="I201" s="124"/>
      <c r="J201" s="1"/>
      <c r="K201" s="1"/>
      <c r="L201" s="1"/>
      <c r="M201" s="1"/>
      <c r="AB201" s="4">
        <f>SUM(I143:I146)</f>
        <v>69458.796000000002</v>
      </c>
    </row>
    <row r="202" spans="1:28" ht="15.75" x14ac:dyDescent="0.25">
      <c r="A202" s="107"/>
      <c r="B202" s="120"/>
      <c r="C202" s="120"/>
      <c r="D202" s="107"/>
      <c r="E202" s="120"/>
      <c r="F202" s="107"/>
      <c r="G202" s="107"/>
      <c r="H202" s="107"/>
      <c r="I202" s="122"/>
      <c r="J202" s="1"/>
      <c r="K202" s="1"/>
      <c r="L202" s="1"/>
      <c r="M202" s="1"/>
      <c r="AB202" s="4">
        <f ca="1">SUM(F162:F163)</f>
        <v>786.68555250000009</v>
      </c>
    </row>
    <row r="203" spans="1:28" ht="15.75" x14ac:dyDescent="0.25">
      <c r="A203" s="107"/>
      <c r="B203" s="123"/>
      <c r="C203" s="124"/>
      <c r="D203" s="107"/>
      <c r="E203" s="107"/>
      <c r="F203" s="107"/>
      <c r="G203" s="107"/>
      <c r="H203" s="107"/>
      <c r="I203" s="107"/>
      <c r="J203" s="1"/>
      <c r="K203" s="1"/>
      <c r="L203" s="1"/>
      <c r="M203" s="1"/>
      <c r="AB203" s="4">
        <f ca="1">SUM(G162:G163)</f>
        <v>0.96289541309669513</v>
      </c>
    </row>
    <row r="204" spans="1:28" ht="15.75" x14ac:dyDescent="0.25">
      <c r="A204" s="107"/>
      <c r="B204" s="123"/>
      <c r="C204" s="124"/>
      <c r="D204" s="107"/>
      <c r="E204" s="120"/>
      <c r="F204" s="107"/>
      <c r="G204" s="107"/>
      <c r="H204" s="107"/>
      <c r="I204" s="122"/>
      <c r="J204" s="1"/>
      <c r="K204" s="1"/>
      <c r="L204" s="1"/>
      <c r="M204" s="1"/>
      <c r="AB204" s="4"/>
    </row>
    <row r="205" spans="1:28" ht="15.75" x14ac:dyDescent="0.25">
      <c r="A205" s="107"/>
      <c r="B205" s="107"/>
      <c r="C205" s="124"/>
      <c r="D205" s="107"/>
      <c r="E205" s="107"/>
      <c r="F205" s="123"/>
      <c r="G205" s="124"/>
      <c r="H205" s="124"/>
      <c r="I205" s="124"/>
      <c r="J205" s="15"/>
      <c r="K205" s="15"/>
      <c r="L205" s="15"/>
      <c r="AB205" s="2">
        <f>F152/E5</f>
        <v>796.08749999999998</v>
      </c>
    </row>
    <row r="206" spans="1:28" ht="15.75" x14ac:dyDescent="0.25">
      <c r="A206" s="107"/>
      <c r="B206" s="107"/>
      <c r="C206" s="124"/>
      <c r="D206" s="107"/>
      <c r="E206" s="107"/>
      <c r="F206" s="123"/>
      <c r="G206" s="124"/>
      <c r="H206" s="124"/>
      <c r="I206" s="124"/>
      <c r="J206" s="15"/>
      <c r="K206" s="15"/>
      <c r="L206" s="15"/>
      <c r="AB206" s="4">
        <f>I34</f>
        <v>318435</v>
      </c>
    </row>
    <row r="207" spans="1:28" ht="15.75" x14ac:dyDescent="0.25">
      <c r="A207" s="107"/>
      <c r="B207" s="107"/>
      <c r="C207" s="107"/>
      <c r="D207" s="107"/>
      <c r="E207" s="107"/>
      <c r="F207" s="123"/>
      <c r="G207" s="124"/>
      <c r="H207" s="124"/>
      <c r="I207" s="124"/>
      <c r="J207" s="15"/>
      <c r="K207" s="15"/>
      <c r="L207" s="15"/>
      <c r="AB207" s="2">
        <f ca="1">F153/E5</f>
        <v>613.03856250000001</v>
      </c>
    </row>
    <row r="208" spans="1:28" ht="15.75" x14ac:dyDescent="0.25">
      <c r="A208" s="107"/>
      <c r="B208" s="123"/>
      <c r="C208" s="107"/>
      <c r="D208" s="107"/>
      <c r="E208" s="124"/>
      <c r="F208" s="123"/>
      <c r="G208" s="124"/>
      <c r="H208" s="124"/>
      <c r="I208" s="124"/>
      <c r="J208" s="15"/>
      <c r="K208" s="15"/>
      <c r="L208" s="15"/>
      <c r="AB208" s="4">
        <f ca="1">I139</f>
        <v>245215.42499999999</v>
      </c>
    </row>
    <row r="209" spans="1:28" ht="15.75" x14ac:dyDescent="0.25">
      <c r="A209" s="107"/>
      <c r="B209" s="107"/>
      <c r="C209" s="107"/>
      <c r="D209" s="107"/>
      <c r="E209" s="107"/>
      <c r="F209" s="123"/>
      <c r="G209" s="124"/>
      <c r="H209" s="124"/>
      <c r="I209" s="124"/>
      <c r="J209" s="15"/>
      <c r="K209" s="15"/>
      <c r="L209" s="15"/>
      <c r="AB209" s="2">
        <f ca="1">F155/E5</f>
        <v>183.04893750000002</v>
      </c>
    </row>
    <row r="210" spans="1:28" ht="15.75" x14ac:dyDescent="0.25">
      <c r="A210" s="107"/>
      <c r="B210" s="107"/>
      <c r="C210" s="107"/>
      <c r="D210" s="107"/>
      <c r="E210" s="124"/>
      <c r="F210" s="123"/>
      <c r="G210" s="124"/>
      <c r="H210" s="124"/>
      <c r="I210" s="124"/>
      <c r="J210" s="15"/>
      <c r="K210" s="15"/>
      <c r="L210" s="15"/>
      <c r="AB210" s="4">
        <f ca="1">F152-F153</f>
        <v>73219.575000000012</v>
      </c>
    </row>
    <row r="211" spans="1:28" ht="15.75" x14ac:dyDescent="0.25">
      <c r="A211" s="107"/>
      <c r="B211" s="107"/>
      <c r="C211" s="107"/>
      <c r="D211" s="107"/>
      <c r="E211" s="124"/>
      <c r="F211" s="123"/>
      <c r="G211" s="124"/>
      <c r="H211" s="124"/>
      <c r="I211" s="124"/>
      <c r="J211" s="15"/>
      <c r="K211" s="15"/>
      <c r="L211" s="15"/>
      <c r="AB211" s="2">
        <f>F156/E5</f>
        <v>173.64699000000002</v>
      </c>
    </row>
    <row r="212" spans="1:28" ht="15.75" x14ac:dyDescent="0.25">
      <c r="A212" s="107"/>
      <c r="B212" s="107"/>
      <c r="C212" s="107"/>
      <c r="D212" s="107"/>
      <c r="E212" s="124"/>
      <c r="F212" s="123"/>
      <c r="G212" s="124"/>
      <c r="H212" s="124"/>
      <c r="I212" s="124"/>
      <c r="J212" s="15"/>
      <c r="K212" s="15"/>
      <c r="L212" s="15"/>
      <c r="AB212" s="4">
        <f>I148</f>
        <v>69458.796000000002</v>
      </c>
    </row>
    <row r="213" spans="1:28" ht="15.75" x14ac:dyDescent="0.25">
      <c r="A213" s="107"/>
      <c r="B213" s="107"/>
      <c r="C213" s="107"/>
      <c r="D213" s="107"/>
      <c r="E213" s="124"/>
      <c r="F213" s="123"/>
      <c r="G213" s="124"/>
      <c r="H213" s="124"/>
      <c r="I213" s="124"/>
      <c r="J213" s="15"/>
      <c r="K213" s="15"/>
      <c r="L213" s="15"/>
      <c r="AB213" s="2">
        <f ca="1">F158/E5</f>
        <v>9.4019475000000234</v>
      </c>
    </row>
    <row r="214" spans="1:28" ht="15.75" x14ac:dyDescent="0.25">
      <c r="A214" s="107"/>
      <c r="B214" s="107"/>
      <c r="C214" s="107"/>
      <c r="D214" s="107"/>
      <c r="E214" s="124"/>
      <c r="F214" s="123"/>
      <c r="G214" s="124"/>
      <c r="H214" s="124"/>
      <c r="I214" s="124"/>
      <c r="J214" s="18"/>
      <c r="K214" s="15"/>
      <c r="L214" s="15"/>
      <c r="AB214" s="4">
        <f ca="1">F155-F156</f>
        <v>3760.7790000000095</v>
      </c>
    </row>
    <row r="215" spans="1:28" ht="15.75" x14ac:dyDescent="0.25">
      <c r="A215" s="107"/>
      <c r="B215" s="107"/>
      <c r="C215" s="107"/>
      <c r="D215" s="107"/>
      <c r="E215" s="124"/>
      <c r="F215" s="123"/>
      <c r="G215" s="124"/>
      <c r="H215" s="124"/>
      <c r="I215" s="124"/>
      <c r="J215" s="15"/>
      <c r="K215" s="15"/>
      <c r="L215" s="15"/>
      <c r="AB215" s="2">
        <f ca="1">F165*I139/K126</f>
        <v>613.03856250000001</v>
      </c>
    </row>
    <row r="216" spans="1:28" ht="15.75" x14ac:dyDescent="0.25">
      <c r="A216" s="107"/>
      <c r="B216" s="107"/>
      <c r="C216" s="107"/>
      <c r="D216" s="107"/>
      <c r="E216" s="124"/>
      <c r="F216" s="123"/>
      <c r="G216" s="124"/>
      <c r="H216" s="124"/>
      <c r="I216" s="124"/>
      <c r="J216" s="15"/>
      <c r="K216" s="15"/>
      <c r="L216" s="15"/>
      <c r="AB216" s="2">
        <f ca="1">G165*I139/K126</f>
        <v>0.75035319767441844</v>
      </c>
    </row>
    <row r="217" spans="1:28" ht="15.75" x14ac:dyDescent="0.25">
      <c r="A217" s="107"/>
      <c r="B217" s="107"/>
      <c r="C217" s="107"/>
      <c r="D217" s="107"/>
      <c r="E217" s="124"/>
      <c r="F217" s="123"/>
      <c r="G217" s="124"/>
      <c r="H217" s="124"/>
      <c r="I217" s="124"/>
      <c r="J217" s="15"/>
      <c r="K217" s="15"/>
      <c r="L217" s="15"/>
      <c r="AB217" s="2">
        <f ca="1">F165*I148/K126</f>
        <v>173.64699000000002</v>
      </c>
    </row>
    <row r="218" spans="1:28" ht="15.75" x14ac:dyDescent="0.25">
      <c r="A218" s="107"/>
      <c r="B218" s="107"/>
      <c r="C218" s="107"/>
      <c r="D218" s="107"/>
      <c r="E218" s="124"/>
      <c r="F218" s="123"/>
      <c r="G218" s="124"/>
      <c r="H218" s="124"/>
      <c r="I218" s="124"/>
      <c r="J218" s="15"/>
      <c r="K218" s="15"/>
      <c r="L218" s="15"/>
      <c r="AB218" s="2">
        <f ca="1">G165*I148/K126</f>
        <v>0.21254221542227661</v>
      </c>
    </row>
    <row r="219" spans="1:28" ht="15.75" x14ac:dyDescent="0.25">
      <c r="A219" s="107"/>
      <c r="B219" s="107"/>
      <c r="C219" s="107"/>
      <c r="D219" s="107"/>
      <c r="E219" s="107"/>
      <c r="F219" s="107"/>
      <c r="G219" s="107"/>
      <c r="H219" s="107"/>
      <c r="I219" s="107"/>
      <c r="J219" s="15"/>
      <c r="K219" s="15"/>
      <c r="L219" s="17"/>
      <c r="AB219" s="2">
        <f ca="1">K127*F21</f>
        <v>14.812420619482269</v>
      </c>
    </row>
    <row r="220" spans="1:28" ht="15.75" x14ac:dyDescent="0.25">
      <c r="A220" s="107"/>
      <c r="B220" s="120"/>
      <c r="C220" s="120"/>
      <c r="D220" s="120"/>
      <c r="E220" s="120"/>
      <c r="F220" s="120"/>
      <c r="G220" s="124"/>
      <c r="H220" s="124"/>
      <c r="I220" s="124"/>
      <c r="J220" s="15"/>
      <c r="K220" s="15"/>
      <c r="L220" s="17"/>
      <c r="AB220" s="2">
        <f ca="1">K127*F23</f>
        <v>0.88874523716893616</v>
      </c>
    </row>
    <row r="221" spans="1:28" ht="15.75" x14ac:dyDescent="0.25">
      <c r="A221" s="107"/>
      <c r="B221" s="107"/>
      <c r="C221" s="107"/>
      <c r="D221" s="120"/>
      <c r="E221" s="107"/>
      <c r="F221" s="123"/>
      <c r="G221" s="107"/>
      <c r="H221" s="107"/>
      <c r="I221" s="122"/>
      <c r="J221" s="17"/>
      <c r="K221" s="15"/>
      <c r="L221" s="17"/>
      <c r="AB221" s="4">
        <f ca="1">I139+I148</f>
        <v>314674.22100000002</v>
      </c>
    </row>
    <row r="222" spans="1:28" ht="15.75" x14ac:dyDescent="0.25">
      <c r="A222" s="107"/>
      <c r="B222" s="107"/>
      <c r="C222" s="107"/>
      <c r="D222" s="107"/>
      <c r="E222" s="107"/>
      <c r="F222" s="107"/>
      <c r="G222" s="107"/>
      <c r="H222" s="107"/>
      <c r="I222" s="107"/>
      <c r="J222" s="15"/>
      <c r="K222" s="15"/>
      <c r="L222" s="17"/>
      <c r="AB222" s="2">
        <f ca="1">IF(D158&gt;0,1-J145,J145)</f>
        <v>0.51130196465228683</v>
      </c>
    </row>
    <row r="223" spans="1:28" ht="15.75" x14ac:dyDescent="0.25">
      <c r="A223" s="107"/>
      <c r="B223" s="107"/>
      <c r="C223" s="107"/>
      <c r="D223" s="107"/>
      <c r="E223" s="112"/>
      <c r="F223" s="112"/>
      <c r="G223" s="107"/>
      <c r="H223" s="107"/>
      <c r="I223" s="107"/>
      <c r="J223" s="15"/>
      <c r="K223" s="15"/>
      <c r="L223" s="17"/>
      <c r="AB223" s="2">
        <f ca="1">(K126-(I26+I27+I28+I29+I30))/(I31+I32)</f>
        <v>0.98749470796548466</v>
      </c>
    </row>
    <row r="224" spans="1:28" ht="15.75" x14ac:dyDescent="0.25">
      <c r="A224" s="107"/>
      <c r="B224" s="107"/>
      <c r="C224" s="107"/>
      <c r="D224" s="107"/>
      <c r="E224" s="112"/>
      <c r="F224" s="112"/>
      <c r="G224" s="107"/>
      <c r="H224" s="107"/>
      <c r="I224" s="107"/>
      <c r="J224" s="15"/>
      <c r="K224" s="15"/>
      <c r="L224" s="15"/>
      <c r="AB224" s="2">
        <f ca="1">IF(D158-D168&gt;0,1-K145,K145)</f>
        <v>0.51130196465228683</v>
      </c>
    </row>
    <row r="225" spans="1:28" ht="15.75" x14ac:dyDescent="0.25">
      <c r="A225" s="107"/>
      <c r="B225" s="107"/>
      <c r="C225" s="107"/>
      <c r="D225" s="107"/>
      <c r="E225" s="112"/>
      <c r="F225" s="112"/>
      <c r="G225" s="107"/>
      <c r="H225" s="107"/>
      <c r="I225" s="107"/>
      <c r="J225" s="15"/>
      <c r="K225" s="15"/>
      <c r="L225" s="17"/>
      <c r="AB225" s="2">
        <f>J138*E5/F152</f>
        <v>0.41682811242049456</v>
      </c>
    </row>
    <row r="226" spans="1:28" ht="15.75" x14ac:dyDescent="0.25">
      <c r="A226" s="107"/>
      <c r="B226" s="107"/>
      <c r="C226" s="107"/>
      <c r="D226" s="107"/>
      <c r="E226" s="107"/>
      <c r="F226" s="107"/>
      <c r="G226" s="107"/>
      <c r="H226" s="107"/>
      <c r="I226" s="107"/>
      <c r="J226" s="15"/>
      <c r="K226" s="15"/>
      <c r="L226" s="17"/>
      <c r="AB226" s="2">
        <f>((E20-G20)/200)</f>
        <v>1.615</v>
      </c>
    </row>
    <row r="227" spans="1:28" ht="15.75" x14ac:dyDescent="0.25">
      <c r="A227" s="107"/>
      <c r="B227" s="107"/>
      <c r="C227" s="107"/>
      <c r="D227" s="107"/>
      <c r="E227" s="107"/>
      <c r="F227" s="107"/>
      <c r="G227" s="107"/>
      <c r="H227" s="107"/>
      <c r="I227" s="107"/>
      <c r="J227" s="15"/>
      <c r="K227" s="15"/>
      <c r="L227" s="17"/>
      <c r="AB227" s="2">
        <f>((E21-G21)/2)</f>
        <v>5</v>
      </c>
    </row>
    <row r="228" spans="1:28" ht="15.75" x14ac:dyDescent="0.25">
      <c r="A228" s="107"/>
      <c r="B228" s="107"/>
      <c r="C228" s="107"/>
      <c r="D228" s="107"/>
      <c r="E228" s="112"/>
      <c r="F228" s="112"/>
      <c r="G228" s="107"/>
      <c r="H228" s="107"/>
      <c r="I228" s="107"/>
      <c r="J228" s="15"/>
      <c r="K228" s="15"/>
      <c r="L228" s="17"/>
      <c r="AB228" s="2">
        <f>(F20/100*J132)^2+(F21*J131)^2+(J131*J132)^2</f>
        <v>1495.9587499999998</v>
      </c>
    </row>
    <row r="229" spans="1:28" ht="15.75" x14ac:dyDescent="0.25">
      <c r="A229" s="107"/>
      <c r="B229" s="107"/>
      <c r="C229" s="107"/>
      <c r="D229" s="107"/>
      <c r="E229" s="112"/>
      <c r="F229" s="112"/>
      <c r="G229" s="107"/>
      <c r="H229" s="107"/>
      <c r="I229" s="107"/>
      <c r="J229" s="15"/>
      <c r="K229" s="15"/>
      <c r="L229" s="17"/>
      <c r="AB229" s="2">
        <f ca="1">D158+0.97*J138</f>
        <v>331.27864794815395</v>
      </c>
    </row>
    <row r="230" spans="1:28" ht="15.75" x14ac:dyDescent="0.25">
      <c r="A230" s="107"/>
      <c r="B230" s="107"/>
      <c r="C230" s="107"/>
      <c r="D230" s="107"/>
      <c r="E230" s="112"/>
      <c r="F230" s="112"/>
      <c r="G230" s="107"/>
      <c r="H230" s="107"/>
      <c r="I230" s="107"/>
      <c r="J230" s="15"/>
      <c r="K230" s="15"/>
      <c r="L230" s="17"/>
      <c r="AB230" s="2">
        <f>((E22-G22)/2)</f>
        <v>182.5</v>
      </c>
    </row>
    <row r="231" spans="1:28" ht="15.75" x14ac:dyDescent="0.25">
      <c r="A231" s="107"/>
      <c r="B231" s="107"/>
      <c r="C231" s="107"/>
      <c r="D231" s="107"/>
      <c r="E231" s="112"/>
      <c r="F231" s="112"/>
      <c r="G231" s="107"/>
      <c r="H231" s="107"/>
      <c r="I231" s="107"/>
      <c r="J231" s="15"/>
      <c r="K231" s="15"/>
      <c r="L231" s="17"/>
      <c r="AB231" s="2">
        <f ca="1">D158+0.43*J138</f>
        <v>152.08955697701671</v>
      </c>
    </row>
    <row r="232" spans="1:28" ht="15.75" x14ac:dyDescent="0.25">
      <c r="A232" s="107"/>
      <c r="B232" s="107"/>
      <c r="C232" s="107"/>
      <c r="D232" s="107"/>
      <c r="E232" s="112"/>
      <c r="F232" s="112"/>
      <c r="G232" s="124"/>
      <c r="H232" s="124"/>
      <c r="I232" s="124"/>
      <c r="J232" s="18"/>
      <c r="K232" s="15"/>
      <c r="L232" s="17"/>
      <c r="AB232" s="2">
        <f>((E23-G23)/2)</f>
        <v>0.32499999999999996</v>
      </c>
    </row>
    <row r="233" spans="1:28" ht="15.75" x14ac:dyDescent="0.25">
      <c r="A233" s="107"/>
      <c r="B233" s="107"/>
      <c r="C233" s="107"/>
      <c r="D233" s="107"/>
      <c r="E233" s="112"/>
      <c r="F233" s="112"/>
      <c r="G233" s="124"/>
      <c r="H233" s="124"/>
      <c r="I233" s="124"/>
      <c r="J233" s="15"/>
      <c r="K233" s="15"/>
      <c r="L233" s="17"/>
      <c r="AB233" s="3">
        <f ca="1">D158</f>
        <v>9.4019475000000234</v>
      </c>
    </row>
    <row r="234" spans="1:28" ht="15.75" x14ac:dyDescent="0.25">
      <c r="A234" s="107"/>
      <c r="B234" s="107"/>
      <c r="C234" s="107"/>
      <c r="D234" s="107"/>
      <c r="E234" s="124"/>
      <c r="F234" s="107"/>
      <c r="G234" s="124"/>
      <c r="H234" s="124"/>
      <c r="I234" s="124"/>
      <c r="J234" s="15"/>
      <c r="K234" s="15"/>
      <c r="L234" s="15"/>
      <c r="AB234" s="14">
        <f>(F22*J135)^2+(F23*J134)^2+(J134*J135)^2</f>
        <v>108616.28515624997</v>
      </c>
    </row>
    <row r="235" spans="1:28" ht="15.75" x14ac:dyDescent="0.25">
      <c r="A235" s="107"/>
      <c r="B235" s="107"/>
      <c r="C235" s="107"/>
      <c r="D235" s="107"/>
      <c r="E235" s="107"/>
      <c r="F235" s="107"/>
      <c r="G235" s="124"/>
      <c r="H235" s="124"/>
      <c r="I235" s="124"/>
      <c r="J235" s="15"/>
      <c r="K235" s="15"/>
      <c r="L235" s="15"/>
      <c r="AB235" s="2">
        <f ca="1">D158-0.43*J138</f>
        <v>-133.28566197701664</v>
      </c>
    </row>
    <row r="236" spans="1:28" ht="15.75" x14ac:dyDescent="0.25">
      <c r="A236" s="107"/>
      <c r="B236" s="107"/>
      <c r="C236" s="107"/>
      <c r="D236" s="107"/>
      <c r="E236" s="107"/>
      <c r="F236" s="107"/>
      <c r="G236" s="107"/>
      <c r="H236" s="107"/>
      <c r="I236" s="107"/>
      <c r="J236" s="15"/>
      <c r="K236" s="15"/>
      <c r="L236" s="15"/>
      <c r="AB236" s="14">
        <f>J133+J136</f>
        <v>110112.24390624998</v>
      </c>
    </row>
    <row r="237" spans="1:28" ht="15.75" x14ac:dyDescent="0.25">
      <c r="A237" s="107"/>
      <c r="B237" s="107"/>
      <c r="C237" s="107"/>
      <c r="D237" s="107"/>
      <c r="E237" s="124"/>
      <c r="F237" s="107"/>
      <c r="G237" s="124"/>
      <c r="H237" s="124"/>
      <c r="I237" s="124"/>
      <c r="J237" s="15"/>
      <c r="K237" s="15"/>
      <c r="L237" s="15"/>
      <c r="AB237" s="2">
        <f ca="1">D158-0.97*J138</f>
        <v>-312.47475294815393</v>
      </c>
    </row>
    <row r="238" spans="1:28" ht="15.75" x14ac:dyDescent="0.25">
      <c r="A238" s="107"/>
      <c r="B238" s="107"/>
      <c r="C238" s="107"/>
      <c r="D238" s="107"/>
      <c r="E238" s="124"/>
      <c r="F238" s="107"/>
      <c r="G238" s="124"/>
      <c r="H238" s="124"/>
      <c r="I238" s="124"/>
      <c r="J238" s="15"/>
      <c r="K238" s="15"/>
      <c r="L238" s="15"/>
      <c r="AB238" s="2">
        <f>SQRT(J137)</f>
        <v>331.83164994655044</v>
      </c>
    </row>
    <row r="239" spans="1:28" ht="15.75" x14ac:dyDescent="0.25">
      <c r="A239" s="107"/>
      <c r="B239" s="107"/>
      <c r="C239" s="107"/>
      <c r="D239" s="107"/>
      <c r="E239" s="124"/>
      <c r="F239" s="107"/>
      <c r="G239" s="124"/>
      <c r="H239" s="124"/>
      <c r="I239" s="124"/>
      <c r="J239" s="15"/>
      <c r="K239" s="15"/>
      <c r="L239" s="15"/>
      <c r="AB239" s="2">
        <f ca="1">ABS(D158/J138)</f>
        <v>2.8333486276895033E-2</v>
      </c>
    </row>
    <row r="240" spans="1:28" ht="15.75" x14ac:dyDescent="0.25">
      <c r="A240" s="107"/>
      <c r="B240" s="107"/>
      <c r="C240" s="107"/>
      <c r="D240" s="107"/>
      <c r="E240" s="124"/>
      <c r="F240" s="107"/>
      <c r="G240" s="124"/>
      <c r="H240" s="124"/>
      <c r="I240" s="124"/>
      <c r="J240" s="18"/>
      <c r="K240" s="15"/>
      <c r="L240" s="15"/>
      <c r="AB240" s="2">
        <f ca="1">ABS((D158-D168)/J138)</f>
        <v>2.8333486276895033E-2</v>
      </c>
    </row>
    <row r="241" spans="1:28" ht="15.75" x14ac:dyDescent="0.25">
      <c r="A241" s="126"/>
      <c r="B241" s="126"/>
      <c r="C241" s="126"/>
      <c r="D241" s="126"/>
      <c r="E241" s="127"/>
      <c r="F241" s="126"/>
      <c r="G241" s="127"/>
      <c r="H241" s="127"/>
      <c r="I241" s="127"/>
      <c r="J241" s="19"/>
      <c r="K241" s="15"/>
      <c r="L241" s="19"/>
      <c r="AB241" s="2">
        <f ca="1">1/(1+(0.2316419*J139))</f>
        <v>0.99347957242279872</v>
      </c>
    </row>
    <row r="242" spans="1:28" ht="15.75" x14ac:dyDescent="0.25">
      <c r="A242" s="126"/>
      <c r="B242" s="126"/>
      <c r="C242" s="128"/>
      <c r="D242" s="126"/>
      <c r="E242" s="126"/>
      <c r="F242" s="126"/>
      <c r="G242" s="128"/>
      <c r="H242" s="128"/>
      <c r="I242" s="126"/>
      <c r="J242" s="19"/>
      <c r="K242" s="19"/>
      <c r="L242" s="19"/>
      <c r="AB242" s="2">
        <f ca="1">1/(1+(0.2316419*K139))</f>
        <v>0.99347957242279872</v>
      </c>
    </row>
    <row r="243" spans="1:28" ht="15.75" x14ac:dyDescent="0.25">
      <c r="A243" s="126"/>
      <c r="B243" s="126"/>
      <c r="C243" s="126"/>
      <c r="D243" s="126"/>
      <c r="E243" s="126"/>
      <c r="F243" s="128"/>
      <c r="G243" s="127"/>
      <c r="H243" s="127"/>
      <c r="I243" s="127"/>
      <c r="J243" s="19"/>
      <c r="K243" s="19"/>
      <c r="L243" s="19"/>
      <c r="AB243" s="2">
        <f ca="1">0.398942281*EXP(J139^2/-2)</f>
        <v>0.3987821804061133</v>
      </c>
    </row>
    <row r="244" spans="1:28" ht="15.75" x14ac:dyDescent="0.25">
      <c r="A244" s="126"/>
      <c r="B244" s="126"/>
      <c r="C244" s="126"/>
      <c r="D244" s="126"/>
      <c r="E244" s="127"/>
      <c r="F244" s="126"/>
      <c r="G244" s="127"/>
      <c r="H244" s="127"/>
      <c r="I244" s="127"/>
      <c r="J244" s="18"/>
      <c r="K244" s="19"/>
      <c r="L244" s="19"/>
      <c r="AB244" s="2">
        <f ca="1">0.398942281*EXP(K139^2/-2)</f>
        <v>0.3987821804061133</v>
      </c>
    </row>
    <row r="245" spans="1:28" ht="15.75" x14ac:dyDescent="0.25">
      <c r="A245" s="126"/>
      <c r="B245" s="126"/>
      <c r="C245" s="126"/>
      <c r="D245" s="126"/>
      <c r="E245" s="127"/>
      <c r="F245" s="128"/>
      <c r="G245" s="127"/>
      <c r="H245" s="127"/>
      <c r="I245" s="127"/>
      <c r="J245" s="19"/>
      <c r="K245" s="19"/>
      <c r="L245" s="19"/>
      <c r="AB245" s="2">
        <f ca="1">J144*(0.31938153*J143-0.356563782*J143^2+1.781477937*J143^3-1.821255978*J143^4+1.330274429*J143^5)</f>
        <v>0.48869803534771317</v>
      </c>
    </row>
    <row r="246" spans="1:28" ht="15.75" x14ac:dyDescent="0.25">
      <c r="A246" s="126"/>
      <c r="B246" s="126"/>
      <c r="C246" s="128"/>
      <c r="D246" s="126"/>
      <c r="E246" s="127"/>
      <c r="F246" s="128"/>
      <c r="G246" s="127"/>
      <c r="H246" s="127"/>
      <c r="I246" s="127"/>
      <c r="J246" s="19"/>
      <c r="K246" s="19"/>
      <c r="L246" s="19"/>
      <c r="AB246" s="2">
        <f ca="1">K144*(0.31938153*K143-0.356563782*K143^2+1.781477937*K143^3-1.821255978*K143^4+1.330274429*K143^5)</f>
        <v>0.48869803534771317</v>
      </c>
    </row>
    <row r="247" spans="1:28" ht="15.75" x14ac:dyDescent="0.25">
      <c r="A247" s="126"/>
      <c r="B247" s="126"/>
      <c r="C247" s="126"/>
      <c r="D247" s="126"/>
      <c r="E247" s="127"/>
      <c r="F247" s="128"/>
      <c r="G247" s="127"/>
      <c r="H247" s="127"/>
      <c r="I247" s="127"/>
      <c r="J247" s="15"/>
      <c r="K247" s="15"/>
      <c r="L247" s="15"/>
    </row>
    <row r="248" spans="1:28" ht="15.75" x14ac:dyDescent="0.25">
      <c r="A248" s="126"/>
      <c r="B248" s="126"/>
      <c r="C248" s="128"/>
      <c r="D248" s="126"/>
      <c r="E248" s="126"/>
      <c r="F248" s="128"/>
      <c r="G248" s="127"/>
      <c r="H248" s="127"/>
      <c r="I248" s="127"/>
      <c r="J248" s="18"/>
      <c r="K248" s="15"/>
      <c r="L248" s="15"/>
    </row>
    <row r="249" spans="1:28" ht="15.75" x14ac:dyDescent="0.25">
      <c r="A249" s="126"/>
      <c r="B249" s="126"/>
      <c r="C249" s="129"/>
      <c r="D249" s="126"/>
      <c r="E249" s="126"/>
      <c r="F249" s="128"/>
      <c r="G249" s="126"/>
      <c r="H249" s="126"/>
      <c r="I249" s="126"/>
      <c r="J249" s="18"/>
      <c r="K249" s="15"/>
      <c r="L249" s="15"/>
    </row>
    <row r="250" spans="1:28" ht="15.75" x14ac:dyDescent="0.25">
      <c r="A250" s="126"/>
      <c r="B250" s="126"/>
      <c r="C250" s="126"/>
      <c r="D250" s="126"/>
      <c r="E250" s="127"/>
      <c r="F250" s="126"/>
      <c r="G250" s="127"/>
      <c r="H250" s="127"/>
      <c r="I250" s="127"/>
      <c r="J250" s="18"/>
      <c r="K250" s="15"/>
      <c r="L250" s="15"/>
    </row>
    <row r="251" spans="1:28" ht="15.75" x14ac:dyDescent="0.25">
      <c r="A251" s="126"/>
      <c r="B251" s="126"/>
      <c r="C251" s="126"/>
      <c r="D251" s="126"/>
      <c r="E251" s="127"/>
      <c r="F251" s="128"/>
      <c r="G251" s="127"/>
      <c r="H251" s="127"/>
      <c r="I251" s="127"/>
      <c r="J251" s="18"/>
      <c r="K251" s="15"/>
      <c r="L251" s="15"/>
    </row>
    <row r="252" spans="1:28" ht="15.75" x14ac:dyDescent="0.25">
      <c r="A252" s="126"/>
      <c r="B252" s="126"/>
      <c r="C252" s="126"/>
      <c r="D252" s="126"/>
      <c r="E252" s="127"/>
      <c r="F252" s="126"/>
      <c r="G252" s="127"/>
      <c r="H252" s="127"/>
      <c r="I252" s="127"/>
      <c r="J252" s="18"/>
      <c r="K252" s="15"/>
      <c r="L252" s="15"/>
    </row>
    <row r="253" spans="1:28" ht="15.75" x14ac:dyDescent="0.25">
      <c r="A253" s="126"/>
      <c r="B253" s="126"/>
      <c r="C253" s="126"/>
      <c r="D253" s="126"/>
      <c r="E253" s="127"/>
      <c r="F253" s="126"/>
      <c r="G253" s="127"/>
      <c r="H253" s="127"/>
      <c r="I253" s="127"/>
      <c r="J253" s="15"/>
      <c r="K253" s="15"/>
      <c r="L253" s="15"/>
    </row>
    <row r="254" spans="1:28" ht="15.75" x14ac:dyDescent="0.25">
      <c r="A254" s="126"/>
      <c r="B254" s="126"/>
      <c r="C254" s="128"/>
      <c r="D254" s="128"/>
      <c r="E254" s="128"/>
      <c r="F254" s="128"/>
      <c r="G254" s="127"/>
      <c r="H254" s="127"/>
      <c r="I254" s="127"/>
      <c r="J254" s="18"/>
      <c r="K254" s="15"/>
      <c r="L254" s="15"/>
    </row>
    <row r="255" spans="1:28" ht="15.75" x14ac:dyDescent="0.25">
      <c r="A255" s="126"/>
      <c r="B255" s="126"/>
      <c r="C255" s="126"/>
      <c r="D255" s="126"/>
      <c r="E255" s="126"/>
      <c r="F255" s="126"/>
      <c r="G255" s="126"/>
      <c r="H255" s="126"/>
      <c r="I255" s="126"/>
      <c r="J255" s="18"/>
      <c r="K255" s="15"/>
      <c r="L255" s="15"/>
    </row>
    <row r="256" spans="1:28" ht="15.75" x14ac:dyDescent="0.25">
      <c r="A256" s="126"/>
      <c r="B256" s="126"/>
      <c r="C256" s="130"/>
      <c r="D256" s="129"/>
      <c r="E256" s="127"/>
      <c r="F256" s="127"/>
      <c r="G256" s="129"/>
      <c r="H256" s="129"/>
      <c r="I256" s="128"/>
      <c r="J256" s="18"/>
      <c r="K256" s="15"/>
      <c r="L256" s="15"/>
    </row>
    <row r="257" spans="1:12" ht="15.75" x14ac:dyDescent="0.25">
      <c r="A257" s="126"/>
      <c r="B257" s="126"/>
      <c r="C257" s="126"/>
      <c r="D257" s="126"/>
      <c r="E257" s="127"/>
      <c r="F257" s="127"/>
      <c r="G257" s="129"/>
      <c r="H257" s="129"/>
      <c r="I257" s="126"/>
      <c r="J257" s="15"/>
      <c r="K257" s="15"/>
      <c r="L257" s="15"/>
    </row>
    <row r="258" spans="1:12" ht="15.75" x14ac:dyDescent="0.25">
      <c r="A258" s="126"/>
      <c r="B258" s="126"/>
      <c r="C258" s="126"/>
      <c r="D258" s="126"/>
      <c r="E258" s="126"/>
      <c r="F258" s="126"/>
      <c r="G258" s="126"/>
      <c r="H258" s="126"/>
      <c r="I258" s="126"/>
      <c r="J258" s="15"/>
      <c r="K258" s="15"/>
      <c r="L258" s="15"/>
    </row>
    <row r="259" spans="1:12" ht="15.75" x14ac:dyDescent="0.25">
      <c r="A259" s="126"/>
      <c r="B259" s="126"/>
      <c r="C259" s="131"/>
      <c r="D259" s="129"/>
      <c r="E259" s="127"/>
      <c r="F259" s="127"/>
      <c r="G259" s="129"/>
      <c r="H259" s="129"/>
      <c r="I259" s="129"/>
      <c r="J259" s="15"/>
      <c r="K259" s="15"/>
      <c r="L259" s="15"/>
    </row>
    <row r="260" spans="1:12" ht="15.75" x14ac:dyDescent="0.25">
      <c r="A260" s="126"/>
      <c r="B260" s="126"/>
      <c r="C260" s="131"/>
      <c r="D260" s="129"/>
      <c r="E260" s="126"/>
      <c r="F260" s="126"/>
      <c r="G260" s="126"/>
      <c r="H260" s="126"/>
      <c r="I260" s="129"/>
      <c r="J260" s="16"/>
      <c r="K260" s="15"/>
      <c r="L260" s="17"/>
    </row>
    <row r="261" spans="1:12" ht="15.75" x14ac:dyDescent="0.25">
      <c r="A261" s="126"/>
      <c r="B261" s="126"/>
      <c r="C261" s="131"/>
      <c r="D261" s="129"/>
      <c r="E261" s="127"/>
      <c r="F261" s="127"/>
      <c r="G261" s="129"/>
      <c r="H261" s="129"/>
      <c r="I261" s="129"/>
      <c r="J261" s="16"/>
      <c r="K261" s="15"/>
      <c r="L261" s="17"/>
    </row>
    <row r="262" spans="1:12" ht="15.75" x14ac:dyDescent="0.25">
      <c r="A262" s="126"/>
      <c r="B262" s="128"/>
      <c r="C262" s="128"/>
      <c r="D262" s="128"/>
      <c r="E262" s="127"/>
      <c r="F262" s="127"/>
      <c r="G262" s="129"/>
      <c r="H262" s="129"/>
      <c r="I262" s="128"/>
      <c r="J262" s="16"/>
      <c r="K262" s="15"/>
      <c r="L262" s="17"/>
    </row>
    <row r="263" spans="1:12" ht="15.75" x14ac:dyDescent="0.25">
      <c r="A263" s="126"/>
      <c r="B263" s="128"/>
      <c r="C263" s="128"/>
      <c r="D263" s="128"/>
      <c r="E263" s="127"/>
      <c r="F263" s="127"/>
      <c r="G263" s="129"/>
      <c r="H263" s="129"/>
      <c r="I263" s="128"/>
      <c r="J263" s="16"/>
      <c r="K263" s="15"/>
      <c r="L263" s="17"/>
    </row>
    <row r="264" spans="1:12" ht="15.75" x14ac:dyDescent="0.25">
      <c r="A264" s="126"/>
      <c r="B264" s="126"/>
      <c r="C264" s="126"/>
      <c r="D264" s="126"/>
      <c r="E264" s="127"/>
      <c r="F264" s="127"/>
      <c r="G264" s="129"/>
      <c r="H264" s="129"/>
      <c r="I264" s="126"/>
      <c r="J264" s="16"/>
      <c r="K264" s="15"/>
      <c r="L264" s="17"/>
    </row>
    <row r="265" spans="1:12" ht="15.75" x14ac:dyDescent="0.25">
      <c r="A265" s="126"/>
      <c r="B265" s="126"/>
      <c r="C265" s="126"/>
      <c r="D265" s="129"/>
      <c r="E265" s="127"/>
      <c r="F265" s="127"/>
      <c r="G265" s="129"/>
      <c r="H265" s="129"/>
      <c r="I265" s="129"/>
      <c r="J265" s="15"/>
      <c r="K265" s="15"/>
      <c r="L265" s="15"/>
    </row>
    <row r="266" spans="1:12" ht="15.75" x14ac:dyDescent="0.25">
      <c r="A266" s="126"/>
      <c r="B266" s="126"/>
      <c r="C266" s="130"/>
      <c r="D266" s="129"/>
      <c r="E266" s="129"/>
      <c r="F266" s="129"/>
      <c r="G266" s="129"/>
      <c r="H266" s="129"/>
      <c r="I266" s="129"/>
      <c r="J266" s="15"/>
      <c r="K266" s="15"/>
      <c r="L266" s="15"/>
    </row>
    <row r="267" spans="1:12" ht="15.75" x14ac:dyDescent="0.25">
      <c r="A267" s="126"/>
      <c r="B267" s="126"/>
      <c r="C267" s="128"/>
      <c r="D267" s="129"/>
      <c r="E267" s="129"/>
      <c r="F267" s="129"/>
      <c r="G267" s="129"/>
      <c r="H267" s="129"/>
      <c r="I267" s="129"/>
      <c r="J267" s="16"/>
      <c r="K267" s="17"/>
      <c r="L267" s="17"/>
    </row>
    <row r="268" spans="1:12" ht="15.75" x14ac:dyDescent="0.25">
      <c r="A268" s="126"/>
      <c r="B268" s="126"/>
      <c r="C268" s="132"/>
      <c r="D268" s="129"/>
      <c r="E268" s="128"/>
      <c r="F268" s="129"/>
      <c r="G268" s="129"/>
      <c r="H268" s="129"/>
      <c r="I268" s="129"/>
      <c r="J268" s="15"/>
      <c r="K268" s="15"/>
      <c r="L268" s="15"/>
    </row>
    <row r="269" spans="1:12" ht="15.75" x14ac:dyDescent="0.25">
      <c r="A269" s="126"/>
      <c r="B269" s="126"/>
      <c r="C269" s="132"/>
      <c r="D269" s="126"/>
      <c r="E269" s="126"/>
      <c r="F269" s="126"/>
      <c r="G269" s="126"/>
      <c r="H269" s="126"/>
      <c r="I269" s="126"/>
      <c r="J269" s="18"/>
      <c r="K269" s="15"/>
      <c r="L269" s="15"/>
    </row>
    <row r="270" spans="1:12" ht="15.75" x14ac:dyDescent="0.25">
      <c r="A270" s="126"/>
      <c r="B270" s="128"/>
      <c r="C270" s="128"/>
      <c r="D270" s="129"/>
      <c r="E270" s="129"/>
      <c r="F270" s="129"/>
      <c r="G270" s="129"/>
      <c r="H270" s="129"/>
      <c r="I270" s="129"/>
      <c r="J270" s="15"/>
      <c r="K270" s="15"/>
      <c r="L270" s="15"/>
    </row>
    <row r="271" spans="1:12" ht="15.75" x14ac:dyDescent="0.25">
      <c r="A271" s="126"/>
      <c r="B271" s="126"/>
      <c r="C271" s="130"/>
      <c r="D271" s="129"/>
      <c r="E271" s="129"/>
      <c r="F271" s="129"/>
      <c r="G271" s="129"/>
      <c r="H271" s="129"/>
      <c r="I271" s="129"/>
      <c r="J271" s="15"/>
      <c r="K271" s="15"/>
      <c r="L271" s="15"/>
    </row>
    <row r="272" spans="1:12" ht="15.75" x14ac:dyDescent="0.25">
      <c r="A272" s="126"/>
      <c r="B272" s="126"/>
      <c r="C272" s="126"/>
      <c r="D272" s="129"/>
      <c r="E272" s="129"/>
      <c r="F272" s="129"/>
      <c r="G272" s="129"/>
      <c r="H272" s="129"/>
      <c r="I272" s="129"/>
      <c r="J272" s="15"/>
      <c r="K272" s="15"/>
      <c r="L272" s="15"/>
    </row>
    <row r="273" spans="1:12" ht="15.75" x14ac:dyDescent="0.25">
      <c r="A273" s="126"/>
      <c r="B273" s="126"/>
      <c r="C273" s="130"/>
      <c r="D273" s="129"/>
      <c r="E273" s="129"/>
      <c r="F273" s="129"/>
      <c r="G273" s="129"/>
      <c r="H273" s="129"/>
      <c r="I273" s="129"/>
      <c r="J273" s="15"/>
      <c r="K273" s="15"/>
      <c r="L273" s="15"/>
    </row>
    <row r="274" spans="1:12" ht="15.75" x14ac:dyDescent="0.25">
      <c r="A274" s="126"/>
      <c r="B274" s="126"/>
      <c r="C274" s="128"/>
      <c r="D274" s="129"/>
      <c r="E274" s="129"/>
      <c r="F274" s="129"/>
      <c r="G274" s="129"/>
      <c r="H274" s="129"/>
      <c r="I274" s="129"/>
      <c r="J274" s="15"/>
      <c r="K274" s="15"/>
      <c r="L274" s="15"/>
    </row>
    <row r="275" spans="1:12" ht="15.75" x14ac:dyDescent="0.25">
      <c r="A275" s="126"/>
      <c r="B275" s="128"/>
      <c r="C275" s="133"/>
      <c r="D275" s="129"/>
      <c r="E275" s="129"/>
      <c r="F275" s="129"/>
      <c r="G275" s="129"/>
      <c r="H275" s="129"/>
      <c r="I275" s="129"/>
      <c r="J275" s="16"/>
      <c r="K275" s="15"/>
      <c r="L275" s="17"/>
    </row>
    <row r="276" spans="1:12" ht="15.75" x14ac:dyDescent="0.25">
      <c r="A276" s="126"/>
      <c r="B276" s="128"/>
      <c r="C276" s="133"/>
      <c r="D276" s="129"/>
      <c r="E276" s="129"/>
      <c r="F276" s="129"/>
      <c r="G276" s="129"/>
      <c r="H276" s="129"/>
      <c r="I276" s="129"/>
      <c r="J276" s="16"/>
      <c r="K276" s="15"/>
      <c r="L276" s="17"/>
    </row>
    <row r="277" spans="1:12" ht="15.75" x14ac:dyDescent="0.25">
      <c r="A277" s="126"/>
      <c r="B277" s="128"/>
      <c r="C277" s="133"/>
      <c r="D277" s="129"/>
      <c r="E277" s="129"/>
      <c r="F277" s="129"/>
      <c r="G277" s="129"/>
      <c r="H277" s="129"/>
      <c r="I277" s="129"/>
      <c r="J277" s="15"/>
      <c r="K277" s="15"/>
      <c r="L277" s="17"/>
    </row>
    <row r="278" spans="1:12" ht="15.75" x14ac:dyDescent="0.25">
      <c r="A278" s="126"/>
      <c r="B278" s="126"/>
      <c r="C278" s="133"/>
      <c r="D278" s="134"/>
      <c r="E278" s="134"/>
      <c r="F278" s="134"/>
      <c r="G278" s="134"/>
      <c r="H278" s="134"/>
      <c r="I278" s="134"/>
      <c r="J278" s="19"/>
      <c r="K278" s="19"/>
      <c r="L278" s="17"/>
    </row>
    <row r="279" spans="1:12" ht="15.75" x14ac:dyDescent="0.25">
      <c r="A279" s="126"/>
      <c r="B279" s="126"/>
      <c r="C279" s="133"/>
      <c r="D279" s="129"/>
      <c r="E279" s="134"/>
      <c r="F279" s="134"/>
      <c r="G279" s="134"/>
      <c r="H279" s="134"/>
      <c r="I279" s="129"/>
      <c r="J279" s="19"/>
      <c r="K279" s="19"/>
      <c r="L279" s="19"/>
    </row>
    <row r="280" spans="1:12" ht="15.75" x14ac:dyDescent="0.25">
      <c r="A280" s="126"/>
      <c r="B280" s="126"/>
      <c r="C280" s="128"/>
      <c r="D280" s="129"/>
      <c r="E280" s="128"/>
      <c r="F280" s="129"/>
      <c r="G280" s="129"/>
      <c r="H280" s="129"/>
      <c r="I280" s="129"/>
      <c r="J280" s="19"/>
      <c r="K280" s="19"/>
      <c r="L280" s="19"/>
    </row>
    <row r="281" spans="1:12" ht="15.75" x14ac:dyDescent="0.25">
      <c r="A281" s="126"/>
      <c r="B281" s="128"/>
      <c r="C281" s="133"/>
      <c r="D281" s="126"/>
      <c r="E281" s="126"/>
      <c r="F281" s="126"/>
      <c r="G281" s="126"/>
      <c r="H281" s="126"/>
      <c r="I281" s="126"/>
      <c r="J281" s="15"/>
      <c r="K281" s="19"/>
      <c r="L281" s="19"/>
    </row>
    <row r="282" spans="1:12" ht="15.75" x14ac:dyDescent="0.25">
      <c r="A282" s="126"/>
      <c r="B282" s="128"/>
      <c r="C282" s="133"/>
      <c r="D282" s="129"/>
      <c r="E282" s="129"/>
      <c r="F282" s="129"/>
      <c r="G282" s="129"/>
      <c r="H282" s="129"/>
      <c r="I282" s="129"/>
      <c r="J282" s="19"/>
      <c r="K282" s="19"/>
      <c r="L282" s="19"/>
    </row>
    <row r="283" spans="1:12" ht="15.75" x14ac:dyDescent="0.25">
      <c r="A283" s="126"/>
      <c r="B283" s="128"/>
      <c r="C283" s="133"/>
      <c r="D283" s="129"/>
      <c r="E283" s="129"/>
      <c r="F283" s="129"/>
      <c r="G283" s="129"/>
      <c r="H283" s="129"/>
      <c r="I283" s="129"/>
      <c r="J283" s="19"/>
      <c r="K283" s="19"/>
      <c r="L283" s="19"/>
    </row>
    <row r="284" spans="1:12" ht="15.75" x14ac:dyDescent="0.25">
      <c r="A284" s="126"/>
      <c r="B284" s="126"/>
      <c r="C284" s="126"/>
      <c r="D284" s="129"/>
      <c r="E284" s="129"/>
      <c r="F284" s="129"/>
      <c r="G284" s="129"/>
      <c r="H284" s="129"/>
      <c r="I284" s="129"/>
      <c r="J284" s="19"/>
      <c r="K284" s="19"/>
      <c r="L284" s="19"/>
    </row>
    <row r="285" spans="1:12" ht="15.75" x14ac:dyDescent="0.25">
      <c r="A285" s="126"/>
      <c r="B285" s="126"/>
      <c r="C285" s="126"/>
      <c r="D285" s="129"/>
      <c r="E285" s="129"/>
      <c r="F285" s="129"/>
      <c r="G285" s="129"/>
      <c r="H285" s="129"/>
      <c r="I285" s="129"/>
      <c r="J285" s="19"/>
      <c r="K285" s="19"/>
      <c r="L285" s="19"/>
    </row>
    <row r="286" spans="1:12" ht="15.75" x14ac:dyDescent="0.25">
      <c r="A286" s="126"/>
      <c r="B286" s="126"/>
      <c r="C286" s="126"/>
      <c r="D286" s="129"/>
      <c r="E286" s="129"/>
      <c r="F286" s="129"/>
      <c r="G286" s="129"/>
      <c r="H286" s="129"/>
      <c r="I286" s="129"/>
      <c r="J286" s="19"/>
      <c r="K286" s="19"/>
      <c r="L286" s="19"/>
    </row>
    <row r="287" spans="1:12" ht="15.75" x14ac:dyDescent="0.25">
      <c r="A287" s="126"/>
      <c r="B287" s="126"/>
      <c r="C287" s="128"/>
      <c r="D287" s="129"/>
      <c r="E287" s="129"/>
      <c r="F287" s="129"/>
      <c r="G287" s="129"/>
      <c r="H287" s="129"/>
      <c r="I287" s="129"/>
      <c r="J287" s="19"/>
      <c r="K287" s="19"/>
      <c r="L287" s="15"/>
    </row>
    <row r="288" spans="1:12" ht="15.75" x14ac:dyDescent="0.25">
      <c r="A288" s="126"/>
      <c r="B288" s="126"/>
      <c r="C288" s="128"/>
      <c r="D288" s="129"/>
      <c r="E288" s="129"/>
      <c r="F288" s="129"/>
      <c r="G288" s="129"/>
      <c r="H288" s="129"/>
      <c r="I288" s="129"/>
      <c r="J288" s="19"/>
      <c r="K288" s="19"/>
      <c r="L288" s="15"/>
    </row>
    <row r="289" spans="1:12" ht="15.75" x14ac:dyDescent="0.25">
      <c r="A289" s="126"/>
      <c r="B289" s="126"/>
      <c r="C289" s="128"/>
      <c r="D289" s="129"/>
      <c r="E289" s="129"/>
      <c r="F289" s="129"/>
      <c r="G289" s="129"/>
      <c r="H289" s="129"/>
      <c r="I289" s="129"/>
      <c r="J289" s="19"/>
      <c r="K289" s="19"/>
      <c r="L289" s="19"/>
    </row>
    <row r="290" spans="1:12" ht="15.75" x14ac:dyDescent="0.25">
      <c r="A290" s="126"/>
      <c r="B290" s="126"/>
      <c r="C290" s="129"/>
      <c r="D290" s="134"/>
      <c r="E290" s="134"/>
      <c r="F290" s="134"/>
      <c r="G290" s="134"/>
      <c r="H290" s="134"/>
      <c r="I290" s="134"/>
      <c r="J290" s="19"/>
      <c r="K290" s="19"/>
      <c r="L290" s="19"/>
    </row>
    <row r="291" spans="1:12" ht="15.75" x14ac:dyDescent="0.25">
      <c r="A291" s="126"/>
      <c r="B291" s="126"/>
      <c r="C291" s="128"/>
      <c r="D291" s="129"/>
      <c r="E291" s="129"/>
      <c r="F291" s="129"/>
      <c r="G291" s="129"/>
      <c r="H291" s="129"/>
      <c r="I291" s="129"/>
      <c r="J291" s="19"/>
      <c r="K291" s="19"/>
      <c r="L291" s="19"/>
    </row>
    <row r="292" spans="1:12" ht="15.75" x14ac:dyDescent="0.25">
      <c r="A292" s="126"/>
      <c r="B292" s="126"/>
      <c r="C292" s="128"/>
      <c r="D292" s="129"/>
      <c r="E292" s="128"/>
      <c r="F292" s="129"/>
      <c r="G292" s="129"/>
      <c r="H292" s="129"/>
      <c r="I292" s="129"/>
      <c r="J292" s="19"/>
      <c r="K292" s="19"/>
      <c r="L292" s="19"/>
    </row>
    <row r="293" spans="1:12" ht="15.75" x14ac:dyDescent="0.25">
      <c r="A293" s="126"/>
      <c r="B293" s="126"/>
      <c r="C293" s="128"/>
      <c r="D293" s="126"/>
      <c r="E293" s="126"/>
      <c r="F293" s="126"/>
      <c r="G293" s="126"/>
      <c r="H293" s="126"/>
      <c r="I293" s="126"/>
      <c r="J293" s="19"/>
      <c r="K293" s="19"/>
      <c r="L293" s="19"/>
    </row>
    <row r="294" spans="1:12" ht="15.75" x14ac:dyDescent="0.25">
      <c r="A294" s="126"/>
      <c r="B294" s="126"/>
      <c r="C294" s="128"/>
      <c r="D294" s="129"/>
      <c r="E294" s="129"/>
      <c r="F294" s="129"/>
      <c r="G294" s="129"/>
      <c r="H294" s="129"/>
      <c r="I294" s="129"/>
      <c r="J294" s="19"/>
      <c r="K294" s="19"/>
      <c r="L294" s="19"/>
    </row>
    <row r="295" spans="1:12" ht="15.75" x14ac:dyDescent="0.25">
      <c r="A295" s="126"/>
      <c r="B295" s="126"/>
      <c r="C295" s="128"/>
      <c r="D295" s="129"/>
      <c r="E295" s="129"/>
      <c r="F295" s="129"/>
      <c r="G295" s="129"/>
      <c r="H295" s="129"/>
      <c r="I295" s="129"/>
      <c r="J295" s="19"/>
      <c r="K295" s="19"/>
      <c r="L295" s="19"/>
    </row>
    <row r="296" spans="1:12" ht="15.75" x14ac:dyDescent="0.25">
      <c r="A296" s="126"/>
      <c r="B296" s="126"/>
      <c r="C296" s="126"/>
      <c r="D296" s="129"/>
      <c r="E296" s="129"/>
      <c r="F296" s="129"/>
      <c r="G296" s="129"/>
      <c r="H296" s="129"/>
      <c r="I296" s="129"/>
      <c r="J296" s="19"/>
      <c r="K296" s="19"/>
      <c r="L296" s="15"/>
    </row>
    <row r="297" spans="1:12" ht="15.75" x14ac:dyDescent="0.25">
      <c r="A297" s="126"/>
      <c r="B297" s="126"/>
      <c r="C297" s="130"/>
      <c r="D297" s="129"/>
      <c r="E297" s="129"/>
      <c r="F297" s="129"/>
      <c r="G297" s="129"/>
      <c r="H297" s="129"/>
      <c r="I297" s="129"/>
      <c r="J297" s="19"/>
      <c r="K297" s="19"/>
      <c r="L297" s="15"/>
    </row>
    <row r="298" spans="1:12" ht="15.75" x14ac:dyDescent="0.25">
      <c r="A298" s="126"/>
      <c r="B298" s="126"/>
      <c r="C298" s="126"/>
      <c r="D298" s="129"/>
      <c r="E298" s="129"/>
      <c r="F298" s="129"/>
      <c r="G298" s="129"/>
      <c r="H298" s="129"/>
      <c r="I298" s="129"/>
      <c r="J298" s="19"/>
      <c r="K298" s="19"/>
      <c r="L298" s="15"/>
    </row>
    <row r="299" spans="1:12" ht="15.75" x14ac:dyDescent="0.25">
      <c r="A299" s="126"/>
      <c r="B299" s="126"/>
      <c r="C299" s="126"/>
      <c r="D299" s="129"/>
      <c r="E299" s="129"/>
      <c r="F299" s="129"/>
      <c r="G299" s="129"/>
      <c r="H299" s="129"/>
      <c r="I299" s="129"/>
      <c r="J299" s="19"/>
      <c r="K299" s="19"/>
      <c r="L299" s="15"/>
    </row>
    <row r="300" spans="1:12" ht="15.75" x14ac:dyDescent="0.25">
      <c r="A300" s="126"/>
      <c r="B300" s="126"/>
      <c r="C300" s="126"/>
      <c r="D300" s="129"/>
      <c r="E300" s="129"/>
      <c r="F300" s="129"/>
      <c r="G300" s="129"/>
      <c r="H300" s="129"/>
      <c r="I300" s="129"/>
      <c r="J300" s="19"/>
      <c r="K300" s="19"/>
      <c r="L300" s="15"/>
    </row>
    <row r="301" spans="1:12" ht="15.75" x14ac:dyDescent="0.25">
      <c r="A301" s="126"/>
      <c r="B301" s="126"/>
      <c r="C301" s="126"/>
      <c r="D301" s="129"/>
      <c r="E301" s="129"/>
      <c r="F301" s="129"/>
      <c r="G301" s="129"/>
      <c r="H301" s="129"/>
      <c r="I301" s="129"/>
      <c r="J301" s="19"/>
      <c r="K301" s="19"/>
      <c r="L301" s="15"/>
    </row>
    <row r="302" spans="1:12" ht="15.75" x14ac:dyDescent="0.25">
      <c r="A302" s="126"/>
      <c r="B302" s="126"/>
      <c r="C302" s="128"/>
      <c r="D302" s="134"/>
      <c r="E302" s="134"/>
      <c r="F302" s="134"/>
      <c r="G302" s="134"/>
      <c r="H302" s="134"/>
      <c r="I302" s="134"/>
      <c r="J302" s="15"/>
      <c r="K302" s="15"/>
      <c r="L302" s="15"/>
    </row>
    <row r="303" spans="1:12" ht="15.75" x14ac:dyDescent="0.25">
      <c r="A303" s="126"/>
      <c r="B303" s="126"/>
      <c r="C303" s="126"/>
      <c r="D303" s="126"/>
      <c r="E303" s="126"/>
      <c r="F303" s="126"/>
      <c r="G303" s="126"/>
      <c r="H303" s="126"/>
      <c r="I303" s="126"/>
      <c r="J303" s="19"/>
      <c r="K303" s="15"/>
      <c r="L303" s="15"/>
    </row>
    <row r="304" spans="1:12" ht="15.75" x14ac:dyDescent="0.25">
      <c r="A304" s="126"/>
      <c r="B304" s="126"/>
      <c r="C304" s="126"/>
      <c r="D304" s="126"/>
      <c r="E304" s="135"/>
      <c r="F304" s="128"/>
      <c r="G304" s="128"/>
      <c r="H304" s="128"/>
      <c r="I304" s="126"/>
      <c r="J304" s="19"/>
      <c r="K304" s="15"/>
      <c r="L304" s="15"/>
    </row>
    <row r="305" spans="1:9" ht="15.75" x14ac:dyDescent="0.25">
      <c r="A305" s="128"/>
      <c r="B305" s="126"/>
      <c r="C305" s="126"/>
      <c r="D305" s="126"/>
      <c r="E305" s="126"/>
      <c r="F305" s="126"/>
      <c r="G305" s="126"/>
      <c r="H305" s="126"/>
      <c r="I305" s="126"/>
    </row>
    <row r="306" spans="1:9" ht="15.75" x14ac:dyDescent="0.25">
      <c r="A306" s="126"/>
      <c r="B306" s="128"/>
      <c r="C306" s="128"/>
      <c r="D306" s="129"/>
      <c r="E306" s="129"/>
      <c r="F306" s="129"/>
      <c r="G306" s="129"/>
      <c r="H306" s="129"/>
      <c r="I306" s="129"/>
    </row>
    <row r="307" spans="1:9" ht="15.75" x14ac:dyDescent="0.25">
      <c r="A307" s="126"/>
      <c r="B307" s="126"/>
      <c r="C307" s="126"/>
      <c r="D307" s="129"/>
      <c r="E307" s="135"/>
      <c r="F307" s="129"/>
      <c r="G307" s="129"/>
      <c r="H307" s="129"/>
      <c r="I307" s="129"/>
    </row>
    <row r="308" spans="1:9" ht="15.75" x14ac:dyDescent="0.25">
      <c r="A308" s="126"/>
      <c r="B308" s="128"/>
      <c r="C308" s="126"/>
      <c r="D308" s="129"/>
      <c r="E308" s="134"/>
      <c r="F308" s="134"/>
      <c r="G308" s="134"/>
      <c r="H308" s="134"/>
      <c r="I308" s="134"/>
    </row>
    <row r="309" spans="1:9" ht="15.75" x14ac:dyDescent="0.25">
      <c r="A309" s="126"/>
      <c r="B309" s="128"/>
      <c r="C309" s="126"/>
      <c r="D309" s="129"/>
      <c r="E309" s="129"/>
      <c r="F309" s="129"/>
      <c r="G309" s="129"/>
      <c r="H309" s="129"/>
      <c r="I309" s="129"/>
    </row>
    <row r="310" spans="1:9" ht="15.75" x14ac:dyDescent="0.25">
      <c r="A310" s="126"/>
      <c r="B310" s="126"/>
      <c r="C310" s="128"/>
      <c r="D310" s="126"/>
      <c r="E310" s="126"/>
      <c r="F310" s="126"/>
      <c r="G310" s="126"/>
      <c r="H310" s="126"/>
      <c r="I310" s="126"/>
    </row>
    <row r="311" spans="1:9" ht="15.75" x14ac:dyDescent="0.25">
      <c r="A311" s="126"/>
      <c r="B311" s="128"/>
      <c r="C311" s="128"/>
      <c r="D311" s="129"/>
      <c r="E311" s="129"/>
      <c r="F311" s="129"/>
      <c r="G311" s="129"/>
      <c r="H311" s="129"/>
      <c r="I311" s="129"/>
    </row>
    <row r="312" spans="1:9" ht="15.75" x14ac:dyDescent="0.25">
      <c r="A312" s="126"/>
      <c r="B312" s="126"/>
      <c r="C312" s="126"/>
      <c r="D312" s="129"/>
      <c r="E312" s="129"/>
      <c r="F312" s="129"/>
      <c r="G312" s="129"/>
      <c r="H312" s="129"/>
      <c r="I312" s="129"/>
    </row>
    <row r="313" spans="1:9" ht="15.75" x14ac:dyDescent="0.25">
      <c r="A313" s="126"/>
      <c r="B313" s="126"/>
      <c r="C313" s="128"/>
      <c r="D313" s="129"/>
      <c r="E313" s="129"/>
      <c r="F313" s="129"/>
      <c r="G313" s="129"/>
      <c r="H313" s="129"/>
      <c r="I313" s="129"/>
    </row>
    <row r="314" spans="1:9" ht="15.75" x14ac:dyDescent="0.25">
      <c r="A314" s="126"/>
      <c r="B314" s="126"/>
      <c r="C314" s="128"/>
      <c r="D314" s="129"/>
      <c r="E314" s="129"/>
      <c r="F314" s="129"/>
      <c r="G314" s="129"/>
      <c r="H314" s="129"/>
      <c r="I314" s="129"/>
    </row>
    <row r="315" spans="1:9" ht="15.75" x14ac:dyDescent="0.25">
      <c r="A315" s="126"/>
      <c r="B315" s="126"/>
      <c r="C315" s="128"/>
      <c r="D315" s="129"/>
      <c r="E315" s="135"/>
      <c r="F315" s="129"/>
      <c r="G315" s="129"/>
      <c r="H315" s="129"/>
      <c r="I315" s="129"/>
    </row>
    <row r="316" spans="1:9" ht="15.75" x14ac:dyDescent="0.25">
      <c r="A316" s="126"/>
      <c r="B316" s="126"/>
      <c r="C316" s="126"/>
      <c r="D316" s="129"/>
      <c r="E316" s="129"/>
      <c r="F316" s="129"/>
      <c r="G316" s="129"/>
      <c r="H316" s="129"/>
      <c r="I316" s="129"/>
    </row>
    <row r="317" spans="1:9" ht="15.75" x14ac:dyDescent="0.25">
      <c r="A317" s="126"/>
      <c r="B317" s="126"/>
      <c r="C317" s="126"/>
      <c r="D317" s="129"/>
      <c r="E317" s="134"/>
      <c r="F317" s="134"/>
      <c r="G317" s="134"/>
      <c r="H317" s="134"/>
      <c r="I317" s="134"/>
    </row>
    <row r="318" spans="1:9" ht="15.75" x14ac:dyDescent="0.25">
      <c r="A318" s="126"/>
      <c r="B318" s="126"/>
      <c r="C318" s="126"/>
      <c r="D318" s="126"/>
      <c r="E318" s="126"/>
      <c r="F318" s="126"/>
      <c r="G318" s="126"/>
      <c r="H318" s="126"/>
      <c r="I318" s="126"/>
    </row>
    <row r="319" spans="1:9" ht="15.75" x14ac:dyDescent="0.25">
      <c r="A319" s="126"/>
      <c r="B319" s="126"/>
      <c r="C319" s="128"/>
      <c r="D319" s="129"/>
      <c r="E319" s="129"/>
      <c r="F319" s="129"/>
      <c r="G319" s="129"/>
      <c r="H319" s="129"/>
      <c r="I319" s="129"/>
    </row>
    <row r="320" spans="1:9" ht="15.75" x14ac:dyDescent="0.25">
      <c r="A320" s="126"/>
      <c r="B320" s="126"/>
      <c r="C320" s="126"/>
      <c r="D320" s="129"/>
      <c r="E320" s="129"/>
      <c r="F320" s="129"/>
      <c r="G320" s="129"/>
      <c r="H320" s="129"/>
      <c r="I320" s="129"/>
    </row>
    <row r="321" spans="1:9" ht="15.75" x14ac:dyDescent="0.25">
      <c r="A321" s="126"/>
      <c r="B321" s="126"/>
      <c r="C321" s="126"/>
      <c r="D321" s="129"/>
      <c r="E321" s="129"/>
      <c r="F321" s="129"/>
      <c r="G321" s="129"/>
      <c r="H321" s="129"/>
      <c r="I321" s="129"/>
    </row>
    <row r="322" spans="1:9" ht="15.75" x14ac:dyDescent="0.25">
      <c r="A322" s="128"/>
      <c r="B322" s="126"/>
      <c r="C322" s="126"/>
      <c r="D322" s="126"/>
      <c r="E322" s="128"/>
      <c r="F322" s="127"/>
      <c r="G322" s="136"/>
      <c r="H322" s="136"/>
      <c r="I322" s="127"/>
    </row>
    <row r="323" spans="1:9" ht="15.75" x14ac:dyDescent="0.25">
      <c r="A323" s="126"/>
      <c r="B323" s="126"/>
      <c r="C323" s="126"/>
      <c r="D323" s="126"/>
      <c r="E323" s="126"/>
      <c r="F323" s="126"/>
      <c r="G323" s="126"/>
      <c r="H323" s="126"/>
      <c r="I323" s="126"/>
    </row>
    <row r="324" spans="1:9" ht="15.75" x14ac:dyDescent="0.25">
      <c r="A324" s="128"/>
      <c r="B324" s="126"/>
      <c r="C324" s="126"/>
      <c r="D324" s="126"/>
      <c r="E324" s="129"/>
      <c r="F324" s="127"/>
      <c r="G324" s="129"/>
      <c r="H324" s="129"/>
      <c r="I324" s="137"/>
    </row>
    <row r="325" spans="1:9" ht="15.75" x14ac:dyDescent="0.25">
      <c r="A325" s="128"/>
      <c r="B325" s="126"/>
      <c r="C325" s="128"/>
      <c r="D325" s="126"/>
      <c r="E325" s="126"/>
      <c r="F325" s="127"/>
      <c r="G325" s="136"/>
      <c r="H325" s="136"/>
      <c r="I325" s="134"/>
    </row>
    <row r="326" spans="1:9" ht="15.75" x14ac:dyDescent="0.25">
      <c r="A326" s="128"/>
      <c r="B326" s="126"/>
      <c r="C326" s="126"/>
      <c r="D326" s="128"/>
      <c r="E326" s="126"/>
      <c r="F326" s="127"/>
      <c r="G326" s="136"/>
      <c r="H326" s="136"/>
      <c r="I326" s="134"/>
    </row>
    <row r="327" spans="1:9" ht="15.75" x14ac:dyDescent="0.25">
      <c r="A327" s="128"/>
      <c r="B327" s="126"/>
      <c r="C327" s="128"/>
      <c r="D327" s="126"/>
      <c r="E327" s="126"/>
      <c r="F327" s="127"/>
      <c r="G327" s="136"/>
      <c r="H327" s="136"/>
      <c r="I327" s="134"/>
    </row>
    <row r="328" spans="1:9" ht="15.75" x14ac:dyDescent="0.25">
      <c r="A328" s="128"/>
      <c r="B328" s="126"/>
      <c r="C328" s="126"/>
      <c r="D328" s="128"/>
      <c r="E328" s="126"/>
      <c r="F328" s="127"/>
      <c r="G328" s="129"/>
      <c r="H328" s="129"/>
      <c r="I328" s="134"/>
    </row>
    <row r="329" spans="1:9" ht="15.75" x14ac:dyDescent="0.25">
      <c r="A329" s="128"/>
      <c r="B329" s="128"/>
      <c r="C329" s="127"/>
      <c r="D329" s="128"/>
      <c r="E329" s="126"/>
      <c r="F329" s="127"/>
      <c r="G329" s="129"/>
      <c r="H329" s="129"/>
      <c r="I329" s="134"/>
    </row>
    <row r="330" spans="1:9" ht="15.75" x14ac:dyDescent="0.25">
      <c r="A330" s="128"/>
      <c r="B330" s="128"/>
      <c r="C330" s="126"/>
      <c r="D330" s="128"/>
      <c r="E330" s="126"/>
      <c r="F330" s="127"/>
      <c r="G330" s="129"/>
      <c r="H330" s="129"/>
      <c r="I330" s="134"/>
    </row>
    <row r="331" spans="1:9" ht="15.75" x14ac:dyDescent="0.25">
      <c r="A331" s="128"/>
      <c r="B331" s="128"/>
      <c r="C331" s="127"/>
      <c r="D331" s="128"/>
      <c r="E331" s="126"/>
      <c r="F331" s="127"/>
      <c r="G331" s="129"/>
      <c r="H331" s="129"/>
      <c r="I331" s="134"/>
    </row>
    <row r="332" spans="1:9" ht="15.75" x14ac:dyDescent="0.25">
      <c r="A332" s="128"/>
      <c r="B332" s="128"/>
      <c r="C332" s="127"/>
      <c r="D332" s="128"/>
      <c r="E332" s="126"/>
      <c r="F332" s="127"/>
      <c r="G332" s="129"/>
      <c r="H332" s="129"/>
      <c r="I332" s="134"/>
    </row>
    <row r="333" spans="1:9" ht="15.75" x14ac:dyDescent="0.25">
      <c r="A333" s="128"/>
      <c r="B333" s="128"/>
      <c r="C333" s="127"/>
      <c r="D333" s="127"/>
      <c r="E333" s="126"/>
      <c r="F333" s="127"/>
      <c r="G333" s="129"/>
      <c r="H333" s="129"/>
      <c r="I333" s="134"/>
    </row>
    <row r="334" spans="1:9" ht="15.75" x14ac:dyDescent="0.25">
      <c r="A334" s="128"/>
      <c r="B334" s="128"/>
      <c r="C334" s="127"/>
      <c r="D334" s="128"/>
      <c r="E334" s="126"/>
      <c r="F334" s="127"/>
      <c r="G334" s="129"/>
      <c r="H334" s="129"/>
      <c r="I334" s="134"/>
    </row>
    <row r="335" spans="1:9" ht="15.75" x14ac:dyDescent="0.25">
      <c r="A335" s="126"/>
      <c r="B335" s="126"/>
      <c r="C335" s="127"/>
      <c r="D335" s="126"/>
      <c r="E335" s="126"/>
      <c r="F335" s="126"/>
      <c r="G335" s="126"/>
      <c r="H335" s="126"/>
      <c r="I335" s="134"/>
    </row>
    <row r="336" spans="1:9" ht="15.75" x14ac:dyDescent="0.25">
      <c r="A336" s="128"/>
      <c r="B336" s="128"/>
      <c r="C336" s="127"/>
      <c r="D336" s="128"/>
      <c r="E336" s="126"/>
      <c r="F336" s="127"/>
      <c r="G336" s="129"/>
      <c r="H336" s="129"/>
      <c r="I336" s="134"/>
    </row>
    <row r="337" spans="1:9" ht="15.75" x14ac:dyDescent="0.25">
      <c r="A337" s="126"/>
      <c r="B337" s="126"/>
      <c r="C337" s="127"/>
      <c r="D337" s="126"/>
      <c r="E337" s="126"/>
      <c r="F337" s="126"/>
      <c r="G337" s="126"/>
      <c r="H337" s="126"/>
      <c r="I337" s="134"/>
    </row>
    <row r="338" spans="1:9" ht="15.75" x14ac:dyDescent="0.25">
      <c r="A338" s="128"/>
      <c r="B338" s="128"/>
      <c r="C338" s="126"/>
      <c r="D338" s="128"/>
      <c r="E338" s="128"/>
      <c r="F338" s="127"/>
      <c r="G338" s="129"/>
      <c r="H338" s="129"/>
      <c r="I338" s="126"/>
    </row>
    <row r="339" spans="1:9" ht="15.75" x14ac:dyDescent="0.25">
      <c r="A339" s="126"/>
      <c r="B339" s="126"/>
      <c r="C339" s="126"/>
      <c r="D339" s="126"/>
      <c r="E339" s="126"/>
      <c r="F339" s="126"/>
      <c r="G339" s="126"/>
      <c r="H339" s="126"/>
      <c r="I339" s="126"/>
    </row>
    <row r="340" spans="1:9" ht="15.75" x14ac:dyDescent="0.25">
      <c r="A340" s="128"/>
      <c r="B340" s="128"/>
      <c r="C340" s="126"/>
      <c r="D340" s="128"/>
      <c r="E340" s="128"/>
      <c r="F340" s="128"/>
      <c r="G340" s="128"/>
      <c r="H340" s="128"/>
      <c r="I340" s="128"/>
    </row>
  </sheetData>
  <phoneticPr fontId="4" type="noConversion"/>
  <conditionalFormatting sqref="J142">
    <cfRule type="cellIs" dxfId="5" priority="6" stopIfTrue="1" operator="equal">
      <formula>$I$121</formula>
    </cfRule>
  </conditionalFormatting>
  <conditionalFormatting sqref="J140">
    <cfRule type="cellIs" dxfId="4" priority="4" stopIfTrue="1" operator="equal">
      <formula>$I$119</formula>
    </cfRule>
  </conditionalFormatting>
  <conditionalFormatting sqref="J141">
    <cfRule type="cellIs" dxfId="3" priority="5" stopIfTrue="1" operator="equal">
      <formula>$I$120</formula>
    </cfRule>
  </conditionalFormatting>
  <conditionalFormatting sqref="I169">
    <cfRule type="cellIs" dxfId="2" priority="1" operator="equal">
      <formula>$J$142</formula>
    </cfRule>
    <cfRule type="cellIs" dxfId="1" priority="2" operator="equal">
      <formula>$J$141</formula>
    </cfRule>
    <cfRule type="cellIs" dxfId="0" priority="3" operator="equal">
      <formula>$J$140</formula>
    </cfRule>
  </conditionalFormatting>
  <hyperlinks>
    <hyperlink ref="D185" r:id="rId1" xr:uid="{00000000-0004-0000-0000-000000000000}"/>
  </hyperlinks>
  <printOptions horizontalCentered="1" verticalCentered="1"/>
  <pageMargins left="0.74803149606299213" right="0.74803149606299213" top="0.98425196850393704" bottom="0.98425196850393704" header="0.51181102362204722" footer="0.51181102362204722"/>
  <pageSetup scale="62" fitToHeight="3" orientation="portrait" blackAndWhite="1" r:id="rId2"/>
  <headerFooter alignWithMargins="0">
    <oddHeader xml:space="preserve">&amp;L                                                                        </oddHeader>
    <oddFooter>&amp;CPage -&amp;P-&amp;R</oddFooter>
  </headerFooter>
  <rowBreaks count="2" manualBreakCount="2">
    <brk id="105" max="8" man="1"/>
    <brk id="166" max="8"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workbookViewId="0">
      <selection activeCell="D31" sqref="D31"/>
    </sheetView>
  </sheetViews>
  <sheetFormatPr defaultRowHeight="12.75" x14ac:dyDescent="0.2"/>
  <sheetData>
    <row r="1" spans="1:9" x14ac:dyDescent="0.2">
      <c r="B1" t="s">
        <v>237</v>
      </c>
      <c r="C1" t="s">
        <v>238</v>
      </c>
      <c r="D1" t="s">
        <v>239</v>
      </c>
      <c r="E1" t="s">
        <v>240</v>
      </c>
      <c r="F1" t="s">
        <v>241</v>
      </c>
      <c r="G1" t="s">
        <v>242</v>
      </c>
      <c r="H1" t="s">
        <v>243</v>
      </c>
      <c r="I1" t="s">
        <v>245</v>
      </c>
    </row>
    <row r="2" spans="1:9" x14ac:dyDescent="0.2">
      <c r="A2" t="s">
        <v>235</v>
      </c>
      <c r="B2">
        <v>165</v>
      </c>
      <c r="C2">
        <v>173</v>
      </c>
      <c r="D2">
        <v>183</v>
      </c>
      <c r="E2">
        <v>186</v>
      </c>
      <c r="F2">
        <v>193</v>
      </c>
      <c r="G2">
        <v>181</v>
      </c>
      <c r="H2">
        <v>181</v>
      </c>
      <c r="I2">
        <f>AVERAGE(B2:H2)</f>
        <v>180.28571428571428</v>
      </c>
    </row>
    <row r="3" spans="1:9" x14ac:dyDescent="0.2">
      <c r="A3" t="s">
        <v>244</v>
      </c>
      <c r="B3">
        <f>B2/2205</f>
        <v>7.4829931972789115E-2</v>
      </c>
      <c r="C3">
        <f t="shared" ref="C3:H3" si="0">C2/2205</f>
        <v>7.845804988662132E-2</v>
      </c>
      <c r="D3">
        <f t="shared" si="0"/>
        <v>8.2993197278911565E-2</v>
      </c>
      <c r="E3">
        <f t="shared" si="0"/>
        <v>8.4353741496598633E-2</v>
      </c>
      <c r="F3">
        <f t="shared" si="0"/>
        <v>8.752834467120181E-2</v>
      </c>
      <c r="G3">
        <f t="shared" si="0"/>
        <v>8.2086167800453511E-2</v>
      </c>
      <c r="H3">
        <f t="shared" si="0"/>
        <v>8.2086167800453511E-2</v>
      </c>
      <c r="I3">
        <f t="shared" ref="I3:I5" si="1">AVERAGE(B3:H3)</f>
        <v>8.1762228701004219E-2</v>
      </c>
    </row>
    <row r="4" spans="1:9" x14ac:dyDescent="0.2">
      <c r="A4" t="s">
        <v>236</v>
      </c>
      <c r="B4">
        <f>B2*0.2</f>
        <v>33</v>
      </c>
      <c r="C4">
        <f t="shared" ref="C4:H4" si="2">C2*0.2</f>
        <v>34.6</v>
      </c>
      <c r="D4">
        <f t="shared" si="2"/>
        <v>36.6</v>
      </c>
      <c r="E4">
        <f t="shared" si="2"/>
        <v>37.200000000000003</v>
      </c>
      <c r="F4">
        <f t="shared" si="2"/>
        <v>38.6</v>
      </c>
      <c r="G4">
        <f t="shared" si="2"/>
        <v>36.200000000000003</v>
      </c>
      <c r="H4">
        <f t="shared" si="2"/>
        <v>36.200000000000003</v>
      </c>
      <c r="I4">
        <f t="shared" si="1"/>
        <v>36.057142857142857</v>
      </c>
    </row>
    <row r="5" spans="1:9" x14ac:dyDescent="0.2">
      <c r="A5" t="s">
        <v>244</v>
      </c>
      <c r="B5">
        <f>B4/2205</f>
        <v>1.4965986394557823E-2</v>
      </c>
      <c r="C5">
        <f t="shared" ref="C5:H5" si="3">C4/2205</f>
        <v>1.5691609977324265E-2</v>
      </c>
      <c r="D5">
        <f t="shared" si="3"/>
        <v>1.6598639455782313E-2</v>
      </c>
      <c r="E5">
        <f t="shared" si="3"/>
        <v>1.687074829931973E-2</v>
      </c>
      <c r="F5">
        <f t="shared" si="3"/>
        <v>1.7505668934240364E-2</v>
      </c>
      <c r="G5">
        <f t="shared" si="3"/>
        <v>1.6417233560090703E-2</v>
      </c>
      <c r="H5">
        <f t="shared" si="3"/>
        <v>1.6417233560090703E-2</v>
      </c>
      <c r="I5">
        <f t="shared" si="1"/>
        <v>1.6352445740200842E-2</v>
      </c>
    </row>
    <row r="6" spans="1:9" x14ac:dyDescent="0.2">
      <c r="B6" t="s">
        <v>246</v>
      </c>
      <c r="C6" t="s">
        <v>247</v>
      </c>
      <c r="D6" t="s">
        <v>248</v>
      </c>
      <c r="E6" t="s">
        <v>252</v>
      </c>
    </row>
    <row r="7" spans="1:9" x14ac:dyDescent="0.2">
      <c r="A7" t="s">
        <v>137</v>
      </c>
      <c r="B7">
        <v>500</v>
      </c>
      <c r="C7">
        <v>25</v>
      </c>
      <c r="D7">
        <f>C7/B7</f>
        <v>0.05</v>
      </c>
      <c r="E7">
        <f>D7*2205</f>
        <v>110.25</v>
      </c>
    </row>
    <row r="8" spans="1:9" x14ac:dyDescent="0.2">
      <c r="B8">
        <v>50</v>
      </c>
      <c r="C8">
        <v>4.5</v>
      </c>
      <c r="D8">
        <f t="shared" ref="D8:D16" si="4">C8/B8</f>
        <v>0.09</v>
      </c>
      <c r="E8">
        <f t="shared" ref="E8:E23" si="5">D8*2205</f>
        <v>198.45</v>
      </c>
    </row>
    <row r="9" spans="1:9" x14ac:dyDescent="0.2">
      <c r="D9">
        <v>0.08</v>
      </c>
      <c r="E9">
        <f t="shared" si="5"/>
        <v>176.4</v>
      </c>
    </row>
    <row r="10" spans="1:9" x14ac:dyDescent="0.2">
      <c r="B10">
        <v>500</v>
      </c>
      <c r="C10">
        <v>30</v>
      </c>
      <c r="D10">
        <f t="shared" si="4"/>
        <v>0.06</v>
      </c>
      <c r="E10">
        <f t="shared" si="5"/>
        <v>132.29999999999998</v>
      </c>
    </row>
    <row r="11" spans="1:9" x14ac:dyDescent="0.2">
      <c r="B11">
        <v>60</v>
      </c>
      <c r="C11">
        <v>6</v>
      </c>
      <c r="D11">
        <f t="shared" si="4"/>
        <v>0.1</v>
      </c>
      <c r="E11">
        <f t="shared" si="5"/>
        <v>220.5</v>
      </c>
    </row>
    <row r="12" spans="1:9" x14ac:dyDescent="0.2">
      <c r="B12">
        <v>55</v>
      </c>
      <c r="C12">
        <v>6</v>
      </c>
      <c r="D12">
        <f t="shared" si="4"/>
        <v>0.10909090909090909</v>
      </c>
      <c r="E12">
        <f t="shared" si="5"/>
        <v>240.54545454545453</v>
      </c>
    </row>
    <row r="13" spans="1:9" x14ac:dyDescent="0.2">
      <c r="B13">
        <v>50</v>
      </c>
      <c r="C13">
        <v>5</v>
      </c>
      <c r="D13">
        <f t="shared" si="4"/>
        <v>0.1</v>
      </c>
      <c r="E13">
        <f t="shared" si="5"/>
        <v>220.5</v>
      </c>
    </row>
    <row r="14" spans="1:9" x14ac:dyDescent="0.2">
      <c r="B14">
        <v>50</v>
      </c>
      <c r="C14">
        <v>5.5</v>
      </c>
      <c r="D14">
        <f t="shared" si="4"/>
        <v>0.11</v>
      </c>
      <c r="E14">
        <f t="shared" si="5"/>
        <v>242.55</v>
      </c>
    </row>
    <row r="15" spans="1:9" x14ac:dyDescent="0.2">
      <c r="B15">
        <v>80</v>
      </c>
      <c r="C15">
        <v>5</v>
      </c>
      <c r="D15">
        <f t="shared" si="4"/>
        <v>6.25E-2</v>
      </c>
      <c r="E15">
        <f t="shared" si="5"/>
        <v>137.8125</v>
      </c>
    </row>
    <row r="16" spans="1:9" x14ac:dyDescent="0.2">
      <c r="B16">
        <v>50</v>
      </c>
      <c r="C16">
        <v>5.5</v>
      </c>
      <c r="D16">
        <f t="shared" si="4"/>
        <v>0.11</v>
      </c>
      <c r="E16">
        <f t="shared" si="5"/>
        <v>242.55</v>
      </c>
    </row>
    <row r="17" spans="1:5" x14ac:dyDescent="0.2">
      <c r="D17">
        <v>0.06</v>
      </c>
      <c r="E17">
        <f t="shared" si="5"/>
        <v>132.29999999999998</v>
      </c>
    </row>
    <row r="18" spans="1:5" x14ac:dyDescent="0.2">
      <c r="D18">
        <v>0.12</v>
      </c>
      <c r="E18">
        <f t="shared" si="5"/>
        <v>264.59999999999997</v>
      </c>
    </row>
    <row r="19" spans="1:5" x14ac:dyDescent="0.2">
      <c r="D19">
        <v>0.105</v>
      </c>
      <c r="E19">
        <f t="shared" si="5"/>
        <v>231.52499999999998</v>
      </c>
    </row>
    <row r="20" spans="1:5" x14ac:dyDescent="0.2">
      <c r="B20">
        <v>50</v>
      </c>
      <c r="C20">
        <v>4.5</v>
      </c>
      <c r="D20">
        <f t="shared" ref="D20:D21" si="6">C20/B20</f>
        <v>0.09</v>
      </c>
      <c r="E20">
        <f t="shared" si="5"/>
        <v>198.45</v>
      </c>
    </row>
    <row r="21" spans="1:5" x14ac:dyDescent="0.2">
      <c r="B21">
        <v>450</v>
      </c>
      <c r="C21">
        <v>40</v>
      </c>
      <c r="D21">
        <f t="shared" si="6"/>
        <v>8.8888888888888892E-2</v>
      </c>
      <c r="E21">
        <f t="shared" si="5"/>
        <v>196</v>
      </c>
    </row>
    <row r="22" spans="1:5" x14ac:dyDescent="0.2">
      <c r="D22">
        <v>0.12</v>
      </c>
      <c r="E22">
        <f t="shared" si="5"/>
        <v>264.59999999999997</v>
      </c>
    </row>
    <row r="23" spans="1:5" x14ac:dyDescent="0.2">
      <c r="D23">
        <f>AVERAGE(D7:D22)</f>
        <v>9.0967487373737388E-2</v>
      </c>
      <c r="E23">
        <f t="shared" si="5"/>
        <v>200.58330965909093</v>
      </c>
    </row>
    <row r="25" spans="1:5" x14ac:dyDescent="0.2">
      <c r="A25" t="s">
        <v>249</v>
      </c>
      <c r="C25">
        <v>505</v>
      </c>
      <c r="D25">
        <f>C25/2205</f>
        <v>0.22902494331065759</v>
      </c>
    </row>
    <row r="26" spans="1:5" x14ac:dyDescent="0.2">
      <c r="A26" t="s">
        <v>250</v>
      </c>
      <c r="C26">
        <v>215</v>
      </c>
      <c r="D26">
        <f>C26/2205</f>
        <v>9.7505668934240369E-2</v>
      </c>
    </row>
    <row r="28" spans="1:5" x14ac:dyDescent="0.2">
      <c r="A28" t="s">
        <v>251</v>
      </c>
      <c r="C28">
        <v>200</v>
      </c>
      <c r="D28">
        <f t="shared" ref="D28:D31" si="7">C28/2205</f>
        <v>9.0702947845804988E-2</v>
      </c>
    </row>
    <row r="29" spans="1:5" x14ac:dyDescent="0.2">
      <c r="A29" t="s">
        <v>230</v>
      </c>
      <c r="C29">
        <v>1600</v>
      </c>
      <c r="D29">
        <f t="shared" si="7"/>
        <v>0.7256235827664399</v>
      </c>
    </row>
    <row r="31" spans="1:5" x14ac:dyDescent="0.2">
      <c r="A31" s="180" t="s">
        <v>253</v>
      </c>
      <c r="C31">
        <v>3600</v>
      </c>
      <c r="D31">
        <f t="shared" si="7"/>
        <v>1.6326530612244898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3"/>
  <sheetViews>
    <sheetView zoomScale="85" zoomScaleNormal="85" workbookViewId="0">
      <selection activeCell="B27" sqref="B27"/>
    </sheetView>
  </sheetViews>
  <sheetFormatPr defaultColWidth="9.140625" defaultRowHeight="15" x14ac:dyDescent="0.2"/>
  <cols>
    <col min="1" max="1" width="61.42578125" style="142" customWidth="1"/>
    <col min="2" max="2" width="20.42578125" style="142" customWidth="1"/>
    <col min="3" max="3" width="20.5703125" style="142" bestFit="1" customWidth="1"/>
    <col min="4" max="4" width="14.42578125" style="142" customWidth="1"/>
    <col min="5" max="27" width="9.140625" style="142" hidden="1" customWidth="1"/>
    <col min="28" max="28" width="16.42578125" style="142" customWidth="1"/>
    <col min="29" max="29" width="9.7109375" style="142" customWidth="1"/>
    <col min="30" max="30" width="10.28515625" style="142" customWidth="1"/>
    <col min="31" max="32" width="9.140625" style="142" customWidth="1"/>
    <col min="33" max="16384" width="9.140625" style="142"/>
  </cols>
  <sheetData>
    <row r="1" spans="1:28" ht="18" x14ac:dyDescent="0.25">
      <c r="A1" s="139" t="s">
        <v>163</v>
      </c>
      <c r="B1" s="140"/>
      <c r="C1" s="140" t="s">
        <v>164</v>
      </c>
      <c r="D1" s="141"/>
    </row>
    <row r="2" spans="1:28" x14ac:dyDescent="0.2">
      <c r="A2" s="143"/>
      <c r="B2" s="144"/>
      <c r="C2" s="144"/>
      <c r="D2" s="141"/>
    </row>
    <row r="3" spans="1:28" ht="15.75" x14ac:dyDescent="0.25">
      <c r="A3" s="145" t="s">
        <v>165</v>
      </c>
      <c r="B3" s="146"/>
      <c r="C3" s="144"/>
      <c r="D3" s="141"/>
    </row>
    <row r="4" spans="1:28" ht="18.75" x14ac:dyDescent="0.25">
      <c r="A4" s="195" t="s">
        <v>187</v>
      </c>
      <c r="B4" s="146"/>
      <c r="C4" s="167">
        <v>481860</v>
      </c>
      <c r="D4" s="141"/>
    </row>
    <row r="5" spans="1:28" ht="15.75" x14ac:dyDescent="0.25">
      <c r="A5" s="145" t="s">
        <v>186</v>
      </c>
      <c r="B5" s="146"/>
      <c r="C5" s="144"/>
      <c r="D5" s="141"/>
    </row>
    <row r="6" spans="1:28" ht="15.75" x14ac:dyDescent="0.25">
      <c r="A6" s="195" t="s">
        <v>182</v>
      </c>
      <c r="B6" s="147"/>
      <c r="C6" s="167"/>
      <c r="D6" s="141"/>
      <c r="AB6" s="148">
        <f>IF(C4&gt;0,(C4-(C4*B34))/2,(SUM(C6:C10)-SUM(C6:C10)*B34)/2)</f>
        <v>216837</v>
      </c>
    </row>
    <row r="7" spans="1:28" ht="15.75" x14ac:dyDescent="0.25">
      <c r="A7" s="195" t="s">
        <v>180</v>
      </c>
      <c r="B7" s="147"/>
      <c r="C7" s="167"/>
      <c r="D7" s="141"/>
    </row>
    <row r="8" spans="1:28" ht="15.75" x14ac:dyDescent="0.25">
      <c r="A8" s="195" t="s">
        <v>189</v>
      </c>
      <c r="B8" s="147"/>
      <c r="C8" s="167"/>
      <c r="D8" s="141"/>
    </row>
    <row r="9" spans="1:28" ht="15.75" x14ac:dyDescent="0.25">
      <c r="A9" s="195" t="s">
        <v>190</v>
      </c>
      <c r="B9" s="147"/>
      <c r="C9" s="167"/>
      <c r="D9" s="141"/>
    </row>
    <row r="10" spans="1:28" ht="15.75" x14ac:dyDescent="0.25">
      <c r="A10" s="195" t="s">
        <v>166</v>
      </c>
      <c r="B10" s="147"/>
      <c r="C10" s="167"/>
      <c r="D10" s="141"/>
    </row>
    <row r="11" spans="1:28" ht="15.75" x14ac:dyDescent="0.25">
      <c r="A11" s="145" t="s">
        <v>167</v>
      </c>
      <c r="B11" s="146"/>
      <c r="C11" s="149"/>
      <c r="D11" s="141"/>
    </row>
    <row r="12" spans="1:28" ht="18.75" x14ac:dyDescent="0.25">
      <c r="A12" s="195" t="s">
        <v>188</v>
      </c>
      <c r="B12" s="146"/>
      <c r="C12" s="167">
        <v>216052</v>
      </c>
      <c r="D12" s="141"/>
    </row>
    <row r="13" spans="1:28" ht="15.75" x14ac:dyDescent="0.25">
      <c r="A13" s="145" t="s">
        <v>186</v>
      </c>
      <c r="B13" s="146"/>
      <c r="C13" s="149"/>
      <c r="D13" s="141"/>
    </row>
    <row r="14" spans="1:28" ht="15.75" x14ac:dyDescent="0.25">
      <c r="A14" s="195" t="s">
        <v>184</v>
      </c>
      <c r="B14" s="147"/>
      <c r="C14" s="167"/>
      <c r="D14" s="141"/>
      <c r="AB14" s="148">
        <f>IF(C12&gt;0,(C12-(C12*B35))/2,(SUM(C14:C17)-SUM(C14:C17)*B35)/2)</f>
        <v>97223.4</v>
      </c>
    </row>
    <row r="15" spans="1:28" ht="15.75" x14ac:dyDescent="0.25">
      <c r="A15" s="195" t="s">
        <v>191</v>
      </c>
      <c r="B15" s="147"/>
      <c r="C15" s="167"/>
      <c r="D15" s="141"/>
    </row>
    <row r="16" spans="1:28" ht="15.75" x14ac:dyDescent="0.25">
      <c r="A16" s="195" t="s">
        <v>183</v>
      </c>
      <c r="B16" s="147"/>
      <c r="C16" s="167"/>
      <c r="D16" s="141"/>
    </row>
    <row r="17" spans="1:31" ht="15.75" x14ac:dyDescent="0.25">
      <c r="A17" s="195" t="s">
        <v>185</v>
      </c>
      <c r="B17" s="147"/>
      <c r="C17" s="167"/>
      <c r="D17" s="141"/>
    </row>
    <row r="18" spans="1:31" ht="15.75" x14ac:dyDescent="0.25">
      <c r="A18" s="150"/>
      <c r="B18" s="147"/>
      <c r="C18" s="149"/>
      <c r="D18" s="141"/>
    </row>
    <row r="19" spans="1:31" x14ac:dyDescent="0.2">
      <c r="A19" s="143"/>
      <c r="B19" s="144"/>
      <c r="C19" s="144"/>
      <c r="D19" s="141"/>
      <c r="AB19" s="151"/>
    </row>
    <row r="20" spans="1:31" x14ac:dyDescent="0.2">
      <c r="A20" s="143" t="s">
        <v>210</v>
      </c>
      <c r="B20" s="144"/>
      <c r="C20" s="144"/>
      <c r="D20" s="141"/>
      <c r="AB20" s="151"/>
    </row>
    <row r="21" spans="1:31" x14ac:dyDescent="0.2">
      <c r="A21" s="143"/>
      <c r="B21" s="144"/>
      <c r="C21" s="144"/>
      <c r="D21" s="155"/>
      <c r="AB21" s="151"/>
    </row>
    <row r="22" spans="1:31" ht="15.75" x14ac:dyDescent="0.25">
      <c r="A22" s="156" t="s">
        <v>168</v>
      </c>
      <c r="B22" s="157"/>
      <c r="C22" s="158"/>
      <c r="D22" s="141"/>
      <c r="AB22" s="151"/>
    </row>
    <row r="23" spans="1:31" x14ac:dyDescent="0.2">
      <c r="A23" s="143"/>
      <c r="B23" s="144"/>
      <c r="C23" s="144"/>
      <c r="D23" s="141"/>
      <c r="AB23" s="142" t="s">
        <v>211</v>
      </c>
    </row>
    <row r="24" spans="1:31" s="153" customFormat="1" ht="31.5" x14ac:dyDescent="0.25">
      <c r="A24" s="145" t="s">
        <v>169</v>
      </c>
      <c r="B24" s="159" t="s">
        <v>209</v>
      </c>
      <c r="C24" s="160" t="s">
        <v>170</v>
      </c>
      <c r="D24" s="152" t="s">
        <v>181</v>
      </c>
      <c r="AB24" s="154">
        <f>SUM(AB6:AB21)</f>
        <v>314060.40000000002</v>
      </c>
    </row>
    <row r="25" spans="1:31" ht="15.75" x14ac:dyDescent="0.25">
      <c r="A25" s="143" t="s">
        <v>165</v>
      </c>
      <c r="B25" s="191">
        <v>0.02</v>
      </c>
      <c r="C25" s="173">
        <f>IF(C4&gt;0,C4*B25,B25*(C6+C7+C8+C9+C10))</f>
        <v>9637.2000000000007</v>
      </c>
      <c r="D25" s="161">
        <f>C25/DGOAT!$E$5</f>
        <v>24.093000000000004</v>
      </c>
    </row>
    <row r="26" spans="1:31" ht="15.75" x14ac:dyDescent="0.25">
      <c r="A26" s="143" t="s">
        <v>167</v>
      </c>
      <c r="B26" s="191">
        <v>2.5000000000000001E-2</v>
      </c>
      <c r="C26" s="173">
        <f>IF(C12&gt;0,C12*B26,B26*SUM(C14:C17))</f>
        <v>5401.3</v>
      </c>
      <c r="D26" s="161">
        <f>C26/DGOAT!$E$5</f>
        <v>13.503250000000001</v>
      </c>
    </row>
    <row r="27" spans="1:31" ht="15.75" x14ac:dyDescent="0.25">
      <c r="A27" s="143"/>
      <c r="B27" s="163"/>
      <c r="C27" s="174"/>
      <c r="D27" s="164"/>
    </row>
    <row r="28" spans="1:31" ht="15.75" x14ac:dyDescent="0.25">
      <c r="A28" s="145" t="s">
        <v>173</v>
      </c>
      <c r="B28" s="163"/>
      <c r="C28" s="174"/>
      <c r="D28" s="164"/>
    </row>
    <row r="29" spans="1:31" ht="15.75" x14ac:dyDescent="0.25">
      <c r="A29" s="145" t="s">
        <v>174</v>
      </c>
      <c r="B29" s="160" t="s">
        <v>175</v>
      </c>
      <c r="C29" s="174"/>
      <c r="D29" s="164"/>
    </row>
    <row r="30" spans="1:31" ht="17.25" customHeight="1" x14ac:dyDescent="0.25">
      <c r="A30" s="143" t="s">
        <v>165</v>
      </c>
      <c r="B30" s="192">
        <v>20</v>
      </c>
      <c r="C30" s="174">
        <f>IF(C4&gt;0,(C4-(B34*C4))/B30,(SUM(C6:C10)-(B34*SUM(C6:C10)))/B30)</f>
        <v>21683.7</v>
      </c>
      <c r="D30" s="161">
        <f>C30/DGOAT!$E$5</f>
        <v>54.209250000000004</v>
      </c>
    </row>
    <row r="31" spans="1:31" ht="15.75" x14ac:dyDescent="0.25">
      <c r="A31" s="143" t="s">
        <v>167</v>
      </c>
      <c r="B31" s="192">
        <v>10</v>
      </c>
      <c r="C31" s="174">
        <f>IF(C12&gt;0,(C12-(B35*C12))/B31,(SUM(C14:C17)-(SUM(C14:C17)*B35))/B31)</f>
        <v>19444.68</v>
      </c>
      <c r="D31" s="161">
        <f>C31/DGOAT!$E$5</f>
        <v>48.611699999999999</v>
      </c>
      <c r="AD31" s="162">
        <f>SUM(D25)</f>
        <v>24.093000000000004</v>
      </c>
      <c r="AE31" s="142" t="s">
        <v>171</v>
      </c>
    </row>
    <row r="32" spans="1:31" ht="15.75" x14ac:dyDescent="0.25">
      <c r="A32" s="143"/>
      <c r="B32" s="163"/>
      <c r="C32" s="174">
        <f>SUM(C30:C31)</f>
        <v>41128.380000000005</v>
      </c>
      <c r="D32" s="161">
        <f>C32/DGOAT!$E$5</f>
        <v>102.82095000000001</v>
      </c>
      <c r="AD32" s="162">
        <f>D26</f>
        <v>13.503250000000001</v>
      </c>
      <c r="AE32" s="142" t="s">
        <v>172</v>
      </c>
    </row>
    <row r="33" spans="1:31" ht="15.75" x14ac:dyDescent="0.25">
      <c r="A33" s="145" t="s">
        <v>176</v>
      </c>
      <c r="B33" s="160" t="s">
        <v>177</v>
      </c>
      <c r="C33" s="174"/>
      <c r="D33" s="164"/>
    </row>
    <row r="34" spans="1:31" ht="15.75" x14ac:dyDescent="0.25">
      <c r="A34" s="143" t="s">
        <v>165</v>
      </c>
      <c r="B34" s="191">
        <v>0.1</v>
      </c>
      <c r="C34" s="174"/>
      <c r="D34" s="164"/>
    </row>
    <row r="35" spans="1:31" ht="15.75" x14ac:dyDescent="0.25">
      <c r="A35" s="143" t="s">
        <v>167</v>
      </c>
      <c r="B35" s="191">
        <v>0.1</v>
      </c>
      <c r="C35" s="174"/>
      <c r="D35" s="164"/>
    </row>
    <row r="36" spans="1:31" ht="15.75" x14ac:dyDescent="0.25">
      <c r="A36" s="143"/>
      <c r="B36" s="163"/>
      <c r="C36" s="174"/>
      <c r="D36" s="164"/>
    </row>
    <row r="37" spans="1:31" ht="15.75" x14ac:dyDescent="0.25">
      <c r="A37" s="143"/>
      <c r="B37" s="160" t="s">
        <v>4</v>
      </c>
      <c r="C37" s="174"/>
      <c r="D37" s="164"/>
    </row>
    <row r="38" spans="1:31" ht="15.75" x14ac:dyDescent="0.25">
      <c r="A38" s="145" t="s">
        <v>198</v>
      </c>
      <c r="B38" s="191">
        <v>0.04</v>
      </c>
      <c r="C38" s="174">
        <f>AB24*B38</f>
        <v>12562.416000000001</v>
      </c>
      <c r="D38" s="161">
        <f>C38/DGOAT!$E$5</f>
        <v>31.406040000000004</v>
      </c>
      <c r="AD38" s="162">
        <f>SUM(D30)</f>
        <v>54.209250000000004</v>
      </c>
      <c r="AE38" s="142" t="s">
        <v>171</v>
      </c>
    </row>
    <row r="39" spans="1:31" ht="15.75" x14ac:dyDescent="0.25">
      <c r="A39" s="143" t="s">
        <v>199</v>
      </c>
      <c r="B39" s="163"/>
      <c r="C39" s="174"/>
      <c r="D39" s="164"/>
      <c r="AD39" s="162">
        <f>D31</f>
        <v>48.611699999999999</v>
      </c>
      <c r="AE39" s="142" t="s">
        <v>172</v>
      </c>
    </row>
    <row r="40" spans="1:31" ht="15.75" x14ac:dyDescent="0.25">
      <c r="A40" s="143"/>
      <c r="B40" s="163"/>
      <c r="C40" s="174"/>
      <c r="D40" s="164"/>
    </row>
    <row r="41" spans="1:31" ht="15.75" x14ac:dyDescent="0.25">
      <c r="A41" s="145" t="s">
        <v>178</v>
      </c>
      <c r="B41" s="160" t="s">
        <v>179</v>
      </c>
      <c r="C41" s="174"/>
      <c r="D41" s="164"/>
    </row>
    <row r="42" spans="1:31" ht="15.75" x14ac:dyDescent="0.25">
      <c r="A42" s="143" t="s">
        <v>165</v>
      </c>
      <c r="B42" s="193">
        <v>2.5000000000000001E-3</v>
      </c>
      <c r="C42" s="174">
        <f>IF(C4&gt;0,C4*B42,SUM(C6:C10)*B42)</f>
        <v>1204.6500000000001</v>
      </c>
      <c r="D42" s="161">
        <f>C42/DGOAT!$E$5</f>
        <v>3.0116250000000004</v>
      </c>
    </row>
    <row r="43" spans="1:31" ht="15.75" x14ac:dyDescent="0.25">
      <c r="A43" s="165" t="s">
        <v>167</v>
      </c>
      <c r="B43" s="194">
        <v>2.5000000000000001E-3</v>
      </c>
      <c r="C43" s="175">
        <f>IF(C12&gt;0,C12*B42,SUM(C14:C17)*B43)</f>
        <v>540.13</v>
      </c>
      <c r="D43" s="166">
        <f>C43/DGOAT!$E$5</f>
        <v>1.350325</v>
      </c>
    </row>
  </sheetData>
  <sheetProtection algorithmName="SHA-512" hashValue="5I2baiResJAVa1T0lhuu3PVGqeLruxkJig4h6ZYTUNJFOkrSS7x4kBVFI+fiBZAwVEu/dlNUBSih7yNZZuSKzw==" saltValue="FVFCC8GthfZ4yvifAt7jYQ==" spinCount="100000" sheet="1" objects="1" scenarios="1"/>
  <pageMargins left="0.70866141732283472" right="0.70866141732283472" top="0.74803149606299213" bottom="0.74803149606299213" header="0.31496062992125984" footer="0.31496062992125984"/>
  <pageSetup scale="5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DGOAT</vt:lpstr>
      <vt:lpstr>Sheet1</vt:lpstr>
      <vt:lpstr>CapitalInvestment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2018-06-21T15:00:31Z</cp:lastPrinted>
  <dcterms:created xsi:type="dcterms:W3CDTF">2008-05-15T20:09:27Z</dcterms:created>
  <dcterms:modified xsi:type="dcterms:W3CDTF">2020-05-15T19:11:06Z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2019-03-05T14:38:55.4524048Z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