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treefruit/2023/"/>
    </mc:Choice>
  </mc:AlternateContent>
  <xr:revisionPtr revIDLastSave="47" documentId="8_{2D084F81-22FE-4ECD-A377-A389163CEF18}" xr6:coauthVersionLast="47" xr6:coauthVersionMax="47" xr10:uidLastSave="{5A864557-1FC2-47A2-A6A9-3C8492A160B4}"/>
  <bookViews>
    <workbookView xWindow="0" yWindow="2631" windowWidth="16457" windowHeight="8520" xr2:uid="{00000000-000D-0000-FFFF-FFFF00000000}"/>
  </bookViews>
  <sheets>
    <sheet name="YPLUM" sheetId="1" r:id="rId1"/>
  </sheets>
  <definedNames>
    <definedName name="_Key1" localSheetId="0" hidden="1">YPLUM!$HW$39:$HW$42</definedName>
    <definedName name="_Key1" hidden="1">#REF!</definedName>
    <definedName name="_Order1" hidden="1">255</definedName>
    <definedName name="_Parse_In" localSheetId="0" hidden="1">YPLUM!$H$116:$H$118</definedName>
    <definedName name="_Parse_In" hidden="1">#REF!</definedName>
    <definedName name="_Parse_Out" localSheetId="0" hidden="1">YPLUM!$H$120</definedName>
    <definedName name="_Parse_Out" hidden="1">#REF!</definedName>
    <definedName name="_Sort" localSheetId="0" hidden="1">YPLUM!$HV$39:$IB$42</definedName>
    <definedName name="_Sort" hidden="1">#REF!</definedName>
    <definedName name="_Table2_In1" localSheetId="0" hidden="1">YPLUM!$BA$49</definedName>
    <definedName name="_Table2_In1" hidden="1">#REF!</definedName>
    <definedName name="_Table2_In2" localSheetId="0" hidden="1">YPLUM!$BA$50</definedName>
    <definedName name="_Table2_In2" hidden="1">#REF!</definedName>
    <definedName name="_Table2_Out" localSheetId="0" hidden="1">YPLUM!$BB$15:$BJ$47</definedName>
    <definedName name="_Table2_Out" hidden="1">#REF!</definedName>
    <definedName name="_xlnm.Print_Area" localSheetId="0">YPLUM!$A$2:$AA$131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1" i="1" l="1"/>
  <c r="AA118" i="1" l="1"/>
  <c r="AA120" i="1" s="1"/>
  <c r="H86" i="1" s="1"/>
  <c r="AA119" i="1" s="1"/>
  <c r="G86" i="1" s="1"/>
  <c r="AA86" i="1"/>
  <c r="AA88" i="1" s="1"/>
  <c r="H68" i="1" s="1"/>
  <c r="AA89" i="1"/>
  <c r="AA91" i="1" s="1"/>
  <c r="H69" i="1" s="1"/>
  <c r="AA90" i="1" s="1"/>
  <c r="G69" i="1" s="1"/>
  <c r="AA101" i="1"/>
  <c r="AA92" i="1"/>
  <c r="AA94" i="1" s="1"/>
  <c r="H70" i="1" s="1"/>
  <c r="AA93" i="1" s="1"/>
  <c r="G70" i="1" s="1"/>
  <c r="AA95" i="1"/>
  <c r="AA97" i="1" s="1"/>
  <c r="H71" i="1" s="1"/>
  <c r="AA96" i="1" s="1"/>
  <c r="G71" i="1" s="1"/>
  <c r="AA98" i="1"/>
  <c r="AA100" i="1" s="1"/>
  <c r="H72" i="1" s="1"/>
  <c r="AA99" i="1" s="1"/>
  <c r="G72" i="1" s="1"/>
  <c r="AA107" i="1"/>
  <c r="AA109" i="1" s="1"/>
  <c r="H82" i="1" s="1"/>
  <c r="AA108" i="1" s="1"/>
  <c r="G82" i="1" s="1"/>
  <c r="AA110" i="1"/>
  <c r="AA112" i="1" s="1"/>
  <c r="H83" i="1" s="1"/>
  <c r="AA111" i="1" s="1"/>
  <c r="G83" i="1" s="1"/>
  <c r="AA144" i="1"/>
  <c r="I115" i="1" s="1"/>
  <c r="AA116" i="1"/>
  <c r="G85" i="1" s="1"/>
  <c r="AA117" i="1" s="1"/>
  <c r="H85" i="1" s="1"/>
  <c r="AA80" i="1"/>
  <c r="G61" i="1" s="1"/>
  <c r="H61" i="1"/>
  <c r="AA78" i="1"/>
  <c r="G60" i="1"/>
  <c r="AA79" i="1" s="1"/>
  <c r="H60" i="1" s="1"/>
  <c r="AA113" i="1"/>
  <c r="AA115" i="1" s="1"/>
  <c r="H84" i="1" s="1"/>
  <c r="AA114" i="1" s="1"/>
  <c r="G84" i="1" s="1"/>
  <c r="AA71" i="1"/>
  <c r="F57" i="1" s="1"/>
  <c r="AA70" i="1"/>
  <c r="E57" i="1" s="1"/>
  <c r="AA18" i="1"/>
  <c r="G24" i="1" s="1"/>
  <c r="AA19" i="1" s="1"/>
  <c r="H24" i="1" s="1"/>
  <c r="AA21" i="1"/>
  <c r="G25" i="1" s="1"/>
  <c r="AA22" i="1" s="1"/>
  <c r="H25" i="1" s="1"/>
  <c r="AA25" i="1"/>
  <c r="G27" i="1" s="1"/>
  <c r="AA26" i="1" s="1"/>
  <c r="H27" i="1" s="1"/>
  <c r="AA28" i="1"/>
  <c r="G28" i="1" s="1"/>
  <c r="AA29" i="1" s="1"/>
  <c r="H28" i="1" s="1"/>
  <c r="AA51" i="1"/>
  <c r="G44" i="1" s="1"/>
  <c r="AA52" i="1" s="1"/>
  <c r="H44" i="1" s="1"/>
  <c r="AA31" i="1"/>
  <c r="G29" i="1" s="1"/>
  <c r="AA32" i="1" s="1"/>
  <c r="H29" i="1" s="1"/>
  <c r="AA34" i="1"/>
  <c r="G30" i="1" s="1"/>
  <c r="AA35" i="1" s="1"/>
  <c r="H30" i="1" s="1"/>
  <c r="AA36" i="1"/>
  <c r="G31" i="1" s="1"/>
  <c r="AA37" i="1" s="1"/>
  <c r="H31" i="1" s="1"/>
  <c r="AA41" i="1"/>
  <c r="G37" i="1" s="1"/>
  <c r="AA42" i="1" s="1"/>
  <c r="H37" i="1" s="1"/>
  <c r="AA43" i="1"/>
  <c r="G38" i="1" s="1"/>
  <c r="AA44" i="1"/>
  <c r="H38" i="1" s="1"/>
  <c r="AA45" i="1"/>
  <c r="G39" i="1" s="1"/>
  <c r="AA46" i="1" s="1"/>
  <c r="H39" i="1" s="1"/>
  <c r="AA47" i="1"/>
  <c r="G41" i="1" s="1"/>
  <c r="AA48" i="1" s="1"/>
  <c r="H41" i="1" s="1"/>
  <c r="AA49" i="1"/>
  <c r="G42" i="1" s="1"/>
  <c r="AA50" i="1" s="1"/>
  <c r="H42" i="1" s="1"/>
  <c r="AA53" i="1"/>
  <c r="G45" i="1" s="1"/>
  <c r="AA54" i="1" s="1"/>
  <c r="H45" i="1" s="1"/>
  <c r="AA55" i="1"/>
  <c r="G46" i="1" s="1"/>
  <c r="AA56" i="1" s="1"/>
  <c r="H46" i="1" s="1"/>
  <c r="AA57" i="1"/>
  <c r="G48" i="1" s="1"/>
  <c r="AA58" i="1" s="1"/>
  <c r="H48" i="1" s="1"/>
  <c r="AA59" i="1"/>
  <c r="G49" i="1" s="1"/>
  <c r="AA60" i="1" s="1"/>
  <c r="H49" i="1" s="1"/>
  <c r="AA61" i="1"/>
  <c r="G50" i="1" s="1"/>
  <c r="AA62" i="1"/>
  <c r="H50" i="1" s="1"/>
  <c r="AA63" i="1"/>
  <c r="G54" i="1" s="1"/>
  <c r="AA64" i="1" s="1"/>
  <c r="H54" i="1" s="1"/>
  <c r="AA20" i="1" s="1"/>
  <c r="K24" i="1" s="1"/>
  <c r="AA65" i="1"/>
  <c r="F55" i="1" s="1"/>
  <c r="AA66" i="1"/>
  <c r="G55" i="1" s="1"/>
  <c r="AA67" i="1" s="1"/>
  <c r="H55" i="1" s="1"/>
  <c r="AA74" i="1"/>
  <c r="G58" i="1" s="1"/>
  <c r="AA75" i="1" s="1"/>
  <c r="H58" i="1" s="1"/>
  <c r="AA76" i="1"/>
  <c r="G59" i="1" s="1"/>
  <c r="AA77" i="1" s="1"/>
  <c r="H59" i="1" s="1"/>
  <c r="AA82" i="1"/>
  <c r="G63" i="1" s="1"/>
  <c r="AA83" i="1" s="1"/>
  <c r="H63" i="1" s="1"/>
  <c r="AA84" i="1"/>
  <c r="G64" i="1" s="1"/>
  <c r="AA85" i="1" s="1"/>
  <c r="H64" i="1" s="1"/>
  <c r="AA68" i="1"/>
  <c r="G56" i="1" s="1"/>
  <c r="AA69" i="1" s="1"/>
  <c r="H56" i="1" s="1"/>
  <c r="AA30" i="1" s="1"/>
  <c r="K28" i="1" s="1"/>
  <c r="AA123" i="1"/>
  <c r="E92" i="1" s="1"/>
  <c r="AA124" i="1" s="1"/>
  <c r="F92" i="1" s="1"/>
  <c r="AA13" i="1" s="1"/>
  <c r="K18" i="1" s="1"/>
  <c r="AA6" i="1"/>
  <c r="D15" i="1" s="1"/>
  <c r="AA17" i="1"/>
  <c r="K23" i="1" s="1"/>
  <c r="AA16" i="1"/>
  <c r="K21" i="1" s="1"/>
  <c r="AA15" i="1"/>
  <c r="K20" i="1" s="1"/>
  <c r="AA5" i="1"/>
  <c r="G10" i="1" s="1"/>
  <c r="AA4" i="1"/>
  <c r="E10" i="1" s="1"/>
  <c r="AA3" i="1"/>
  <c r="C10" i="1" s="1"/>
  <c r="AA87" i="1" l="1"/>
  <c r="G68" i="1" s="1"/>
  <c r="AA142" i="1"/>
  <c r="I114" i="1" s="1"/>
  <c r="AA146" i="1" s="1"/>
  <c r="I116" i="1" s="1"/>
  <c r="AA72" i="1"/>
  <c r="G57" i="1" s="1"/>
  <c r="AA73" i="1" s="1"/>
  <c r="H57" i="1" s="1"/>
  <c r="AA106" i="1" s="1"/>
  <c r="J77" i="1" s="1"/>
  <c r="AA103" i="1" s="1"/>
  <c r="H75" i="1" s="1"/>
  <c r="AA102" i="1" s="1"/>
  <c r="G75" i="1" s="1"/>
  <c r="AA38" i="1"/>
  <c r="K33" i="1" s="1"/>
  <c r="AA12" i="1" s="1"/>
  <c r="D18" i="1" s="1"/>
  <c r="AA33" i="1"/>
  <c r="K29" i="1" s="1"/>
  <c r="AA24" i="1"/>
  <c r="K26" i="1" s="1"/>
  <c r="AA27" i="1"/>
  <c r="K27" i="1" s="1"/>
  <c r="AA23" i="1"/>
  <c r="K25" i="1" s="1"/>
  <c r="AA122" i="1"/>
  <c r="H88" i="1" s="1"/>
  <c r="AA105" i="1" l="1"/>
  <c r="H77" i="1" s="1"/>
  <c r="AA128" i="1" s="1"/>
  <c r="F94" i="1" s="1"/>
  <c r="AA8" i="1"/>
  <c r="D16" i="1" s="1"/>
  <c r="AA10" i="1"/>
  <c r="D17" i="1" s="1"/>
  <c r="AA125" i="1" s="1"/>
  <c r="AA126" i="1" s="1"/>
  <c r="AA7" i="1" s="1"/>
  <c r="K15" i="1" s="1"/>
  <c r="AA39" i="1"/>
  <c r="K34" i="1" s="1"/>
  <c r="AA40" i="1" s="1"/>
  <c r="K35" i="1" s="1"/>
  <c r="AA14" i="1"/>
  <c r="K19" i="1" s="1"/>
  <c r="AA140" i="1"/>
  <c r="G112" i="1" s="1"/>
  <c r="H112" i="1" s="1"/>
  <c r="AA121" i="1"/>
  <c r="G88" i="1" s="1"/>
  <c r="AA11" i="1"/>
  <c r="K17" i="1" s="1"/>
  <c r="AA132" i="1"/>
  <c r="F97" i="1" s="1"/>
  <c r="AA131" i="1" s="1"/>
  <c r="E97" i="1" s="1"/>
  <c r="AA136" i="1" s="1"/>
  <c r="G104" i="1" s="1"/>
  <c r="AA104" i="1" l="1"/>
  <c r="G77" i="1" s="1"/>
  <c r="AA9" i="1"/>
  <c r="K16" i="1" s="1"/>
  <c r="AA127" i="1"/>
  <c r="E94" i="1" s="1"/>
  <c r="AA135" i="1" s="1"/>
  <c r="G103" i="1" s="1"/>
  <c r="AA137" i="1" s="1"/>
  <c r="G106" i="1" s="1"/>
  <c r="AA130" i="1"/>
  <c r="F96" i="1" s="1"/>
  <c r="AA129" i="1" l="1"/>
  <c r="E96" i="1" s="1"/>
  <c r="AA133" i="1" s="1"/>
  <c r="E99" i="1" s="1"/>
  <c r="AA134" i="1"/>
  <c r="F99" i="1" s="1"/>
  <c r="AA141" i="1" l="1"/>
  <c r="I113" i="1" s="1"/>
  <c r="AA2" i="1"/>
  <c r="H3" i="1" s="1"/>
  <c r="AA149" i="1" l="1"/>
  <c r="I118" i="1" s="1"/>
  <c r="AA143" i="1"/>
  <c r="C117" i="1" s="1"/>
  <c r="AA147" i="1"/>
  <c r="C119" i="1" s="1"/>
  <c r="AA150" i="1"/>
  <c r="J118" i="1" s="1"/>
  <c r="AA151" i="1"/>
  <c r="C121" i="1" s="1"/>
  <c r="AA145" i="1"/>
  <c r="C118" i="1" s="1"/>
  <c r="AA148" i="1"/>
  <c r="C120" i="1" s="1"/>
  <c r="AA153" i="1" l="1"/>
  <c r="J119" i="1" s="1"/>
  <c r="AA155" i="1"/>
  <c r="J120" i="1" s="1"/>
  <c r="AA154" i="1"/>
  <c r="I120" i="1" s="1"/>
  <c r="AA152" i="1"/>
  <c r="I119" i="1" s="1"/>
  <c r="AA157" i="1" l="1"/>
  <c r="J121" i="1" s="1"/>
  <c r="AA139" i="1" s="1"/>
  <c r="G110" i="1" s="1"/>
  <c r="AA156" i="1"/>
  <c r="I121" i="1" s="1"/>
  <c r="AA138" i="1" s="1"/>
  <c r="G10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b/>
            <sz val="8"/>
            <color indexed="81"/>
            <rFont val="Tahoma"/>
            <family val="2"/>
          </rPr>
          <t>The Optimistic estimate is the best result you would reasonably expect to be seen at least 1 out of every 6 years</t>
        </r>
        <r>
          <rPr>
            <sz val="8"/>
            <color indexed="81"/>
            <rFont val="Tahoma"/>
            <family val="2"/>
          </rPr>
          <t xml:space="preserve">
</t>
        </r>
      </text>
    </comment>
    <comment ref="E7"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7"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12"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<sst xmlns="http://schemas.openxmlformats.org/spreadsheetml/2006/main" count="229" uniqueCount="149">
  <si>
    <t>Profit Per Acre:</t>
  </si>
  <si>
    <t>Number of Acres =</t>
  </si>
  <si>
    <t>1 tonne =</t>
  </si>
  <si>
    <t>tons</t>
  </si>
  <si>
    <t>Yield - tons</t>
  </si>
  <si>
    <t>Price - $/ton</t>
  </si>
  <si>
    <t>Production- tons</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</si>
  <si>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</si>
  <si>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</si>
  <si>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</si>
  <si>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</si>
  <si>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</si>
  <si>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</si>
  <si>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</si>
  <si>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Unit/Ac</t>
  </si>
  <si>
    <t>Number</t>
  </si>
  <si>
    <t>Cost/Unit</t>
  </si>
  <si>
    <t>$/Acre</t>
  </si>
  <si>
    <t>$/Year</t>
  </si>
  <si>
    <t>Expenses</t>
  </si>
  <si>
    <t>-------</t>
  </si>
  <si>
    <t xml:space="preserve">  ------</t>
  </si>
  <si>
    <t>-</t>
  </si>
  <si>
    <t xml:space="preserve"> -------</t>
  </si>
  <si>
    <t xml:space="preserve">   --------</t>
  </si>
  <si>
    <t>Allo!C3..J14</t>
  </si>
  <si>
    <t>ANNUAL PRODUCTION COSTS:</t>
  </si>
  <si>
    <t>hr.</t>
  </si>
  <si>
    <t xml:space="preserve"> Fertilizers:</t>
  </si>
  <si>
    <t xml:space="preserve">      1.</t>
  </si>
  <si>
    <t>Ammonium Nitrate</t>
  </si>
  <si>
    <t>kg or l</t>
  </si>
  <si>
    <t xml:space="preserve">      2.</t>
  </si>
  <si>
    <t>Muriate of Potash</t>
  </si>
  <si>
    <t xml:space="preserve">      3.</t>
  </si>
  <si>
    <t xml:space="preserve"> </t>
  </si>
  <si>
    <t xml:space="preserve">      4.</t>
  </si>
  <si>
    <t xml:space="preserve">      5.</t>
  </si>
  <si>
    <t>Grip prob factor (component of grip)</t>
  </si>
  <si>
    <t>N/A</t>
  </si>
  <si>
    <t>C.I. prob factor (component of Crop Insurance)</t>
  </si>
  <si>
    <t xml:space="preserve"> Spray Materials:</t>
  </si>
  <si>
    <t xml:space="preserve">  Insecticides:</t>
  </si>
  <si>
    <t>All Insecticides</t>
  </si>
  <si>
    <t>_______________</t>
  </si>
  <si>
    <t xml:space="preserve">  Herbicides:</t>
  </si>
  <si>
    <t xml:space="preserve">All Herbicides  </t>
  </si>
  <si>
    <t xml:space="preserve">  Fungicides:</t>
  </si>
  <si>
    <t xml:space="preserve">All Fungicides  </t>
  </si>
  <si>
    <t xml:space="preserve">  Other Sprays</t>
  </si>
  <si>
    <t>All Other Sprays</t>
  </si>
  <si>
    <t xml:space="preserve"> Other Expenses:</t>
  </si>
  <si>
    <t xml:space="preserve">  Cover Crop Seed</t>
  </si>
  <si>
    <t xml:space="preserve">  Containers</t>
  </si>
  <si>
    <t>no.</t>
  </si>
  <si>
    <t>$</t>
  </si>
  <si>
    <t>Insurance</t>
  </si>
  <si>
    <t xml:space="preserve">  Replacement Trees</t>
  </si>
  <si>
    <t xml:space="preserve">  Custom Work</t>
  </si>
  <si>
    <t>Typical</t>
  </si>
  <si>
    <t xml:space="preserve"> $/Acre</t>
  </si>
  <si>
    <t xml:space="preserve"> Fuel</t>
  </si>
  <si>
    <t xml:space="preserve"> Mach. Repair &amp; Maint.</t>
  </si>
  <si>
    <t xml:space="preserve"> Bldg. Repair &amp; Maint.</t>
  </si>
  <si>
    <t>Wfarm!L4</t>
  </si>
  <si>
    <t>Wfarm!L5</t>
  </si>
  <si>
    <t xml:space="preserve"> General Variable Costs</t>
  </si>
  <si>
    <t>Wfarm!L6</t>
  </si>
  <si>
    <t>Wfarm!L7</t>
  </si>
  <si>
    <t>Interest on</t>
  </si>
  <si>
    <t>%int</t>
  </si>
  <si>
    <t>%year</t>
  </si>
  <si>
    <t>Wfarm!L8</t>
  </si>
  <si>
    <t>Operating Capital</t>
  </si>
  <si>
    <t xml:space="preserve">     ------</t>
  </si>
  <si>
    <t>Total Variable Costs</t>
  </si>
  <si>
    <t>Wfarm!L9</t>
  </si>
  <si>
    <t>Fixed Costs:</t>
  </si>
  <si>
    <t xml:space="preserve"> Depreciation</t>
  </si>
  <si>
    <t>Wfarm!K4</t>
  </si>
  <si>
    <t xml:space="preserve"> General Fixed Costs</t>
  </si>
  <si>
    <t>Wfarm!K5</t>
  </si>
  <si>
    <t>Wfarm!K6</t>
  </si>
  <si>
    <t>Total Fixed Costs</t>
  </si>
  <si>
    <t>Wfarm!K7</t>
  </si>
  <si>
    <t>Revenues:</t>
  </si>
  <si>
    <t>Total Expected Revenues</t>
  </si>
  <si>
    <t xml:space="preserve">    less: Variable Costs</t>
  </si>
  <si>
    <t xml:space="preserve">  -------</t>
  </si>
  <si>
    <t>Expected Operating Margin</t>
  </si>
  <si>
    <t xml:space="preserve">    less: Fixed Costs</t>
  </si>
  <si>
    <t>Expected Net Revenue</t>
  </si>
  <si>
    <t xml:space="preserve">        Break-even $/ton to cover:</t>
  </si>
  <si>
    <t>Variable Costs</t>
  </si>
  <si>
    <t>Fixed Costs</t>
  </si>
  <si>
    <t xml:space="preserve"> ------</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</si>
  <si>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</si>
  <si>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</si>
  <si>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</si>
  <si>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</si>
  <si>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</si>
  <si>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</si>
  <si>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</si>
  <si>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</si>
  <si>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</si>
  <si>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</si>
  <si>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</si>
  <si>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</si>
  <si>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</si>
  <si>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</si>
  <si>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</si>
  <si>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</si>
  <si>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</si>
  <si>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</si>
  <si>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</si>
  <si>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</si>
  <si>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</si>
  <si>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Foliar ( Crop Booster )</t>
  </si>
  <si>
    <t xml:space="preserve">  Other #1-Irrigation</t>
  </si>
  <si>
    <t xml:space="preserve">  Other #2-Leaf,Hive,Mulch</t>
  </si>
  <si>
    <t xml:space="preserve">  Consulting Fees</t>
  </si>
  <si>
    <t>JAPANESE YELLOW  PLUM ENTERPRISE BUDGET</t>
  </si>
  <si>
    <t xml:space="preserve">The user of this worksheet assumes all responsibility. </t>
  </si>
  <si>
    <t>For more information:</t>
  </si>
  <si>
    <t>OMAFRA Agricultural Information Contact Centre</t>
  </si>
  <si>
    <t>ag.info.omafra@ontario.ca</t>
  </si>
  <si>
    <t>1-877-424-1300</t>
  </si>
  <si>
    <t>Numbers in blue can be edited/changed for individual producers</t>
  </si>
  <si>
    <t>Optimistic</t>
  </si>
  <si>
    <t xml:space="preserve"> Expected</t>
  </si>
  <si>
    <t>Pessimistic</t>
  </si>
  <si>
    <t xml:space="preserve"> Hand Labour</t>
  </si>
  <si>
    <t xml:space="preserve"> Machine Labour</t>
  </si>
  <si>
    <t>Packing</t>
  </si>
  <si>
    <t xml:space="preserve"> Land rental</t>
  </si>
  <si>
    <t xml:space="preserve"> Interest</t>
  </si>
  <si>
    <t xml:space="preserve"> Cold storage</t>
  </si>
  <si>
    <t xml:space="preserve"> Land ownership</t>
  </si>
  <si>
    <t xml:space="preserve">Risk Indicator - </t>
  </si>
  <si>
    <t>Coefficient of variation                 ==&gt;</t>
  </si>
  <si>
    <t>Low Risk</t>
  </si>
  <si>
    <t>Moderate Risk</t>
  </si>
  <si>
    <t>High Risk</t>
  </si>
  <si>
    <t>This is a cost of production budgeting tool that has 1 worksheet. There are fields that can be completed by the user. It is up to 21 columns wide and 252 rows.</t>
  </si>
  <si>
    <t>Ontario Ministry of Agriculture, Food and Rural Affairs Website</t>
  </si>
  <si>
    <t>End of worksheet</t>
  </si>
  <si>
    <t>yes</t>
  </si>
  <si>
    <t xml:space="preserve">  Revised: 2023</t>
  </si>
  <si>
    <t xml:space="preserve">  Other #3- Food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</si>
</sst>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5"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8"/>
      <color indexed="81"/>
      <name val="Tahoma"/>
      <family val="2"/>
    </font>
    <font>
      <sz val="8"/>
      <color indexed="81"/>
      <name val="Tahoma"/>
      <family val="2"/>
    </font>
    <font>
      <sz val="8"/>
      <name val="Arial"/>
      <family val="2"/>
    </font>
    <font>
      <b/>
      <sz val="12"/>
      <color indexed="8"/>
      <name val="Arial"/>
      <family val="2"/>
    </font>
    <font>
      <b/>
      <sz val="12"/>
      <color indexed="12"/>
      <name val="Arial"/>
      <family val="2"/>
    </font>
    <font>
      <b/>
      <sz val="12"/>
      <name val="Arial"/>
      <family val="2"/>
    </font>
    <font>
      <b/>
      <sz val="12"/>
      <color indexed="42"/>
      <name val="Arial"/>
      <family val="2"/>
    </font>
    <font>
      <sz val="12"/>
      <name val="Courier"/>
      <family val="3"/>
    </font>
    <font>
      <u/>
      <sz val="12"/>
      <color indexed="12"/>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cellStyleXfs>
  <cellXfs count="110">
    <xf numFmtId="0" fontId="0" fillId="0" borderId="0" xfId="0"/>
    <xf numFmtId="0" fontId="3" fillId="0" borderId="0" xfId="3" applyFont="1"/>
    <xf numFmtId="0" fontId="2" fillId="0" borderId="0" xfId="3"/>
    <xf numFmtId="169" fontId="2" fillId="0" borderId="0" xfId="3" applyNumberFormat="1"/>
    <xf numFmtId="0" fontId="3" fillId="0" borderId="0" xfId="3" applyFont="1" applyProtection="1"/>
    <xf numFmtId="169" fontId="3" fillId="0" borderId="0" xfId="3" applyNumberFormat="1" applyFont="1" applyAlignment="1" applyProtection="1">
      <alignment horizontal="center"/>
    </xf>
    <xf numFmtId="0" fontId="3" fillId="0" borderId="0" xfId="3" applyFont="1" applyAlignment="1" applyProtection="1">
      <alignment horizontal="center"/>
    </xf>
    <xf numFmtId="0" fontId="3" fillId="0" borderId="0" xfId="3" applyFont="1" applyAlignment="1" applyProtection="1">
      <alignment horizontal="left"/>
    </xf>
    <xf numFmtId="166" fontId="3" fillId="0" borderId="0" xfId="3" applyNumberFormat="1" applyFont="1" applyProtection="1"/>
    <xf numFmtId="167" fontId="2" fillId="0" borderId="0" xfId="3" applyNumberFormat="1"/>
    <xf numFmtId="166" fontId="3" fillId="0" borderId="0" xfId="3" applyNumberFormat="1" applyFont="1" applyAlignment="1" applyProtection="1">
      <alignment horizontal="center"/>
    </xf>
    <xf numFmtId="166" fontId="2" fillId="0" borderId="0" xfId="3" applyNumberFormat="1"/>
    <xf numFmtId="0" fontId="4" fillId="0" borderId="0" xfId="3" applyFont="1"/>
    <xf numFmtId="0" fontId="3" fillId="4" borderId="0" xfId="3" applyFont="1" applyFill="1" applyBorder="1"/>
    <xf numFmtId="169" fontId="3" fillId="4" borderId="0" xfId="3" applyNumberFormat="1" applyFont="1" applyFill="1" applyBorder="1" applyProtection="1"/>
    <xf numFmtId="167" fontId="3" fillId="4" borderId="0" xfId="3" applyNumberFormat="1" applyFont="1" applyFill="1" applyBorder="1" applyProtection="1"/>
    <xf numFmtId="37" fontId="3" fillId="4" borderId="0" xfId="3" applyNumberFormat="1" applyFont="1" applyFill="1" applyBorder="1" applyProtection="1"/>
    <xf numFmtId="9" fontId="3" fillId="4" borderId="0" xfId="3" applyNumberFormat="1" applyFont="1" applyFill="1" applyBorder="1" applyProtection="1"/>
    <xf numFmtId="166" fontId="3" fillId="4" borderId="0" xfId="3" applyNumberFormat="1" applyFont="1" applyFill="1" applyBorder="1" applyProtection="1"/>
    <xf numFmtId="0" fontId="3" fillId="0" borderId="0" xfId="5" applyFont="1"/>
    <xf numFmtId="0" fontId="8" fillId="2" borderId="1" xfId="3" applyFont="1" applyFill="1" applyBorder="1" applyAlignment="1" applyProtection="1">
      <alignment horizontal="left"/>
    </xf>
    <xf numFmtId="0" fontId="8" fillId="2" borderId="2" xfId="3" applyFont="1" applyFill="1" applyBorder="1"/>
    <xf numFmtId="0" fontId="8" fillId="2" borderId="2" xfId="3" applyFont="1" applyFill="1" applyBorder="1" applyAlignment="1" applyProtection="1">
      <alignment horizontal="left"/>
    </xf>
    <xf numFmtId="0" fontId="8" fillId="2" borderId="3" xfId="3" applyFont="1" applyFill="1" applyBorder="1"/>
    <xf numFmtId="166" fontId="8" fillId="2" borderId="4" xfId="3" applyNumberFormat="1" applyFont="1" applyFill="1" applyBorder="1" applyProtection="1"/>
    <xf numFmtId="0" fontId="8" fillId="2" borderId="0" xfId="3" applyFont="1" applyFill="1" applyBorder="1"/>
    <xf numFmtId="166"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xf numFmtId="0" fontId="9" fillId="3" borderId="6"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2" borderId="5" xfId="3" applyFont="1" applyFill="1" applyBorder="1"/>
    <xf numFmtId="0" fontId="9" fillId="6" borderId="12" xfId="2" applyFont="1" applyFill="1" applyBorder="1" applyAlignment="1" applyProtection="1">
      <alignment horizontal="left"/>
    </xf>
    <xf numFmtId="0" fontId="8" fillId="4" borderId="7" xfId="0" applyFont="1" applyFill="1" applyBorder="1" applyAlignment="1" applyProtection="1">
      <alignment horizontal="fill"/>
    </xf>
    <xf numFmtId="0" fontId="8" fillId="4" borderId="7" xfId="3" applyFont="1" applyFill="1" applyBorder="1" applyAlignment="1" applyProtection="1">
      <alignment horizontal="fill"/>
    </xf>
    <xf numFmtId="0" fontId="8" fillId="2" borderId="4" xfId="0" applyFont="1" applyFill="1" applyBorder="1"/>
    <xf numFmtId="0" fontId="8" fillId="2" borderId="0" xfId="0" applyFont="1" applyFill="1" applyBorder="1"/>
    <xf numFmtId="0" fontId="10" fillId="5" borderId="2" xfId="0" applyFont="1" applyFill="1" applyBorder="1" applyAlignment="1" applyProtection="1">
      <alignment horizontal="center"/>
    </xf>
    <xf numFmtId="0" fontId="8" fillId="2" borderId="0" xfId="4" applyFont="1" applyFill="1" applyBorder="1"/>
    <xf numFmtId="0" fontId="8" fillId="2" borderId="4" xfId="3" applyFont="1" applyFill="1" applyBorder="1" applyAlignment="1" applyProtection="1">
      <alignment horizontal="left"/>
    </xf>
    <xf numFmtId="170" fontId="9" fillId="3" borderId="6" xfId="3" applyNumberFormat="1" applyFont="1" applyFill="1" applyBorder="1" applyAlignment="1" applyProtection="1">
      <alignment horizontal="center"/>
      <protection locked="0"/>
    </xf>
    <xf numFmtId="167" fontId="9" fillId="3" borderId="6" xfId="3" applyNumberFormat="1" applyFont="1" applyFill="1" applyBorder="1" applyAlignment="1" applyProtection="1">
      <alignment horizontal="center"/>
      <protection locked="0"/>
    </xf>
    <xf numFmtId="169" fontId="8" fillId="2" borderId="0" xfId="3" applyNumberFormat="1" applyFont="1" applyFill="1" applyBorder="1" applyAlignment="1" applyProtection="1">
      <alignment horizontal="center"/>
    </xf>
    <xf numFmtId="167" fontId="8" fillId="2" borderId="0" xfId="3" applyNumberFormat="1" applyFont="1" applyFill="1" applyBorder="1" applyProtection="1"/>
    <xf numFmtId="165" fontId="8" fillId="2" borderId="0" xfId="3" applyNumberFormat="1" applyFont="1" applyFill="1" applyBorder="1" applyProtection="1"/>
    <xf numFmtId="171" fontId="8" fillId="2" borderId="0" xfId="3" applyNumberFormat="1" applyFont="1" applyFill="1" applyBorder="1" applyProtection="1"/>
    <xf numFmtId="10" fontId="8" fillId="2" borderId="5" xfId="3" applyNumberFormat="1" applyFont="1" applyFill="1" applyBorder="1" applyProtection="1"/>
    <xf numFmtId="9" fontId="9" fillId="3" borderId="6" xfId="3" applyNumberFormat="1" applyFont="1" applyFill="1" applyBorder="1" applyAlignment="1" applyProtection="1">
      <alignment horizontal="center"/>
      <protection locked="0"/>
    </xf>
    <xf numFmtId="167" fontId="8" fillId="2" borderId="0" xfId="3" applyNumberFormat="1" applyFont="1" applyFill="1" applyBorder="1" applyAlignment="1" applyProtection="1">
      <alignment horizontal="center"/>
    </xf>
    <xf numFmtId="169" fontId="8" fillId="2" borderId="5" xfId="3" applyNumberFormat="1" applyFont="1" applyFill="1" applyBorder="1" applyProtection="1"/>
    <xf numFmtId="10" fontId="8" fillId="2" borderId="0" xfId="3" applyNumberFormat="1" applyFont="1" applyFill="1" applyBorder="1" applyAlignment="1" applyProtection="1">
      <alignment horizontal="center"/>
    </xf>
    <xf numFmtId="165" fontId="8" fillId="2" borderId="0" xfId="3" applyNumberFormat="1" applyFont="1" applyFill="1" applyBorder="1" applyAlignment="1" applyProtection="1">
      <alignment horizontal="center"/>
    </xf>
    <xf numFmtId="169" fontId="8" fillId="2" borderId="0" xfId="3" applyNumberFormat="1" applyFont="1" applyFill="1" applyBorder="1" applyProtection="1"/>
    <xf numFmtId="166" fontId="8" fillId="2" borderId="0" xfId="3" applyNumberFormat="1" applyFont="1" applyFill="1" applyBorder="1" applyAlignment="1" applyProtection="1">
      <alignment horizontal="center"/>
    </xf>
    <xf numFmtId="167" fontId="8" fillId="2" borderId="5" xfId="3" applyNumberFormat="1" applyFont="1" applyFill="1" applyBorder="1" applyProtection="1"/>
    <xf numFmtId="0" fontId="9" fillId="5" borderId="8" xfId="3" applyFont="1" applyFill="1" applyBorder="1" applyAlignment="1" applyProtection="1">
      <alignment horizontal="center"/>
      <protection locked="0"/>
    </xf>
    <xf numFmtId="0" fontId="8" fillId="2" borderId="0" xfId="3" applyFont="1" applyFill="1" applyBorder="1" applyAlignment="1" applyProtection="1">
      <alignment horizontal="center"/>
    </xf>
    <xf numFmtId="0" fontId="8" fillId="2" borderId="5" xfId="3" applyFont="1" applyFill="1" applyBorder="1" applyAlignment="1" applyProtection="1">
      <alignment horizontal="center"/>
    </xf>
    <xf numFmtId="0" fontId="9" fillId="5" borderId="5" xfId="3" applyFont="1" applyFill="1" applyBorder="1" applyAlignment="1" applyProtection="1">
      <alignment horizontal="left"/>
      <protection locked="0"/>
    </xf>
    <xf numFmtId="169" fontId="8" fillId="2" borderId="5" xfId="3" applyNumberFormat="1" applyFont="1" applyFill="1" applyBorder="1" applyAlignment="1" applyProtection="1">
      <alignment horizontal="center"/>
    </xf>
    <xf numFmtId="168" fontId="8" fillId="2" borderId="0" xfId="3" applyNumberFormat="1" applyFont="1" applyFill="1" applyBorder="1" applyProtection="1"/>
    <xf numFmtId="168" fontId="9" fillId="3" borderId="6" xfId="3" applyNumberFormat="1" applyFont="1" applyFill="1" applyBorder="1" applyAlignment="1" applyProtection="1">
      <alignment horizontal="center"/>
      <protection locked="0"/>
    </xf>
    <xf numFmtId="0" fontId="9" fillId="5" borderId="0" xfId="3" applyFont="1" applyFill="1" applyBorder="1" applyAlignment="1" applyProtection="1">
      <alignment horizontal="left"/>
      <protection locked="0"/>
    </xf>
    <xf numFmtId="10" fontId="8" fillId="2" borderId="0" xfId="3" applyNumberFormat="1" applyFont="1" applyFill="1" applyBorder="1" applyProtection="1"/>
    <xf numFmtId="0" fontId="9" fillId="5" borderId="9" xfId="3" applyFont="1" applyFill="1" applyBorder="1" applyAlignment="1" applyProtection="1">
      <alignment horizontal="left"/>
      <protection locked="0"/>
    </xf>
    <xf numFmtId="0" fontId="9" fillId="5" borderId="8" xfId="3" applyFont="1" applyFill="1" applyBorder="1" applyAlignment="1" applyProtection="1">
      <alignment horizontal="left"/>
      <protection locked="0"/>
    </xf>
    <xf numFmtId="0" fontId="8" fillId="2" borderId="8" xfId="3" applyFont="1" applyFill="1" applyBorder="1"/>
    <xf numFmtId="0" fontId="9" fillId="5" borderId="7" xfId="3" applyFont="1" applyFill="1" applyBorder="1" applyAlignment="1" applyProtection="1">
      <alignment horizontal="left"/>
      <protection locked="0"/>
    </xf>
    <xf numFmtId="0" fontId="8" fillId="2" borderId="7" xfId="3" applyFont="1" applyFill="1" applyBorder="1"/>
    <xf numFmtId="169" fontId="11" fillId="2" borderId="0" xfId="3" applyNumberFormat="1" applyFont="1" applyFill="1" applyBorder="1" applyAlignment="1" applyProtection="1">
      <alignment horizontal="center"/>
    </xf>
    <xf numFmtId="169" fontId="11" fillId="2" borderId="0" xfId="3" applyNumberFormat="1" applyFont="1" applyFill="1" applyBorder="1" applyProtection="1"/>
    <xf numFmtId="0" fontId="11" fillId="2" borderId="0" xfId="3" applyFont="1" applyFill="1" applyBorder="1"/>
    <xf numFmtId="166" fontId="8" fillId="2" borderId="5" xfId="3" applyNumberFormat="1" applyFont="1" applyFill="1" applyBorder="1" applyProtection="1"/>
    <xf numFmtId="9" fontId="8" fillId="2" borderId="0" xfId="3" applyNumberFormat="1" applyFont="1" applyFill="1" applyBorder="1" applyProtection="1"/>
    <xf numFmtId="9" fontId="8" fillId="2" borderId="0" xfId="3" applyNumberFormat="1" applyFont="1" applyFill="1" applyBorder="1" applyAlignment="1" applyProtection="1">
      <alignment horizontal="center"/>
    </xf>
    <xf numFmtId="0" fontId="9" fillId="5" borderId="0" xfId="3" applyFont="1" applyFill="1" applyBorder="1" applyAlignment="1" applyProtection="1">
      <alignment horizontal="center"/>
      <protection locked="0"/>
    </xf>
    <xf numFmtId="0" fontId="10" fillId="5" borderId="0" xfId="0" applyFont="1" applyFill="1" applyBorder="1" applyAlignment="1" applyProtection="1"/>
    <xf numFmtId="0" fontId="10" fillId="5" borderId="0" xfId="0" applyFont="1" applyFill="1" applyBorder="1" applyAlignment="1" applyProtection="1">
      <alignment horizontal="right"/>
    </xf>
    <xf numFmtId="0" fontId="10" fillId="5" borderId="0" xfId="0" applyFont="1" applyFill="1" applyBorder="1" applyAlignment="1" applyProtection="1">
      <alignment horizontal="left"/>
    </xf>
    <xf numFmtId="167" fontId="10" fillId="5" borderId="5" xfId="0" applyNumberFormat="1" applyFont="1" applyFill="1" applyBorder="1" applyAlignment="1" applyProtection="1">
      <alignment horizontal="center"/>
    </xf>
    <xf numFmtId="166"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8" xfId="0" applyFont="1" applyFill="1" applyBorder="1"/>
    <xf numFmtId="9" fontId="8" fillId="4" borderId="8" xfId="0" applyNumberFormat="1" applyFont="1" applyFill="1" applyBorder="1" applyProtection="1"/>
    <xf numFmtId="169" fontId="8" fillId="4" borderId="8" xfId="0" applyNumberFormat="1" applyFont="1" applyFill="1" applyBorder="1" applyProtection="1"/>
    <xf numFmtId="169" fontId="8" fillId="4" borderId="11" xfId="0" applyNumberFormat="1" applyFont="1" applyFill="1" applyBorder="1" applyProtection="1"/>
    <xf numFmtId="0" fontId="10" fillId="0" borderId="0" xfId="6" applyFont="1"/>
    <xf numFmtId="0" fontId="14" fillId="0" borderId="8" xfId="1" applyFont="1" applyFill="1" applyBorder="1" applyAlignment="1" applyProtection="1">
      <alignment horizontal="center"/>
    </xf>
    <xf numFmtId="0" fontId="8" fillId="4" borderId="0" xfId="7" applyFont="1" applyFill="1" applyBorder="1" applyProtection="1"/>
    <xf numFmtId="0" fontId="3" fillId="4" borderId="0" xfId="7" applyFont="1" applyFill="1" applyBorder="1"/>
    <xf numFmtId="0" fontId="3" fillId="4" borderId="0" xfId="7" applyFont="1" applyFill="1" applyBorder="1" applyProtection="1"/>
    <xf numFmtId="167" fontId="3" fillId="4" borderId="0" xfId="7" applyNumberFormat="1" applyFont="1" applyFill="1" applyBorder="1" applyProtection="1"/>
    <xf numFmtId="0" fontId="10" fillId="2" borderId="0" xfId="3" applyFont="1" applyFill="1" applyBorder="1" applyAlignment="1" applyProtection="1">
      <alignment horizontal="center"/>
    </xf>
    <xf numFmtId="169" fontId="10" fillId="2" borderId="0" xfId="3" applyNumberFormat="1" applyFont="1" applyFill="1" applyBorder="1" applyAlignment="1" applyProtection="1">
      <alignment horizontal="center"/>
    </xf>
  </cellXfs>
  <cellStyles count="8">
    <cellStyle name="Hyperlink" xfId="1" builtinId="8"/>
    <cellStyle name="Normal" xfId="0" builtinId="0"/>
    <cellStyle name="Normal_APPLE" xfId="2" xr:uid="{00000000-0005-0000-0000-000002000000}"/>
    <cellStyle name="Normal_Bplum" xfId="3" xr:uid="{00000000-0005-0000-0000-000003000000}"/>
    <cellStyle name="Normal_Corn2" xfId="4" xr:uid="{00000000-0005-0000-0000-000004000000}"/>
    <cellStyle name="Normal_Oats" xfId="7" xr:uid="{44DBAD73-3E15-41C1-BA57-A67FEFF811FC}"/>
    <cellStyle name="Normal_PrPeach" xfId="5" xr:uid="{00000000-0005-0000-0000-000005000000}"/>
    <cellStyle name="Normal_Raspc2" xfId="6" xr:uid="{00000000-0005-0000-0000-000006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2A7DC8B-EC2D-4A9F-B891-451AE4279B03}"/>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3"/>
  <sheetViews>
    <sheetView showGridLines="0" tabSelected="1" zoomScaleNormal="100" zoomScaleSheetLayoutView="100" workbookViewId="0">
      <selection activeCell="G8" sqref="G8"/>
    </sheetView>
  </sheetViews>
  <sheetFormatPr defaultColWidth="11" defaultRowHeight="10.75" x14ac:dyDescent="0.25"/>
  <cols>
    <col min="1" max="8" width="15.69140625" style="2" customWidth="1"/>
    <col min="9" max="9" width="9.3828125" style="2" hidden="1" customWidth="1"/>
    <col min="10" max="18" width="11" style="2" hidden="1" customWidth="1"/>
    <col min="19" max="19" width="8.69140625" style="2" hidden="1" customWidth="1"/>
    <col min="20" max="20" width="3" style="2" hidden="1" customWidth="1"/>
    <col min="21" max="21" width="19" style="2" hidden="1" customWidth="1"/>
    <col min="22" max="27" width="11" style="2" hidden="1" customWidth="1"/>
    <col min="28" max="28" width="0" style="2" hidden="1" customWidth="1"/>
    <col min="29" max="40" width="11" style="2"/>
    <col min="41" max="41" width="13.3046875" style="2" customWidth="1"/>
    <col min="42" max="49" width="8.69140625" style="2" customWidth="1"/>
    <col min="50" max="50" width="6.382812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27" ht="15.45" x14ac:dyDescent="0.4">
      <c r="A1" s="102" t="s">
        <v>143</v>
      </c>
    </row>
    <row r="2" spans="1:27" ht="15.45" x14ac:dyDescent="0.4">
      <c r="A2" s="20"/>
      <c r="B2" s="21"/>
      <c r="C2" s="22" t="s">
        <v>121</v>
      </c>
      <c r="D2" s="21"/>
      <c r="E2" s="21"/>
      <c r="F2" s="21"/>
      <c r="G2" s="22" t="s">
        <v>147</v>
      </c>
      <c r="H2" s="23"/>
      <c r="I2" s="1"/>
      <c r="J2" s="1"/>
      <c r="K2" s="1"/>
      <c r="L2" s="1"/>
      <c r="AA2" s="3">
        <f ca="1">E99</f>
        <v>9047.2599999999984</v>
      </c>
    </row>
    <row r="3" spans="1:27" ht="25.5" customHeight="1" x14ac:dyDescent="0.4">
      <c r="A3" s="24">
        <v>818</v>
      </c>
      <c r="B3" s="25"/>
      <c r="C3" s="25"/>
      <c r="D3" s="26"/>
      <c r="E3" s="25"/>
      <c r="F3" s="27" t="s">
        <v>0</v>
      </c>
      <c r="G3" s="25"/>
      <c r="H3" s="28">
        <f ca="1">AA2</f>
        <v>9047.2599999999984</v>
      </c>
      <c r="I3" s="1"/>
      <c r="J3" s="1"/>
      <c r="K3" s="1"/>
      <c r="L3" s="1"/>
      <c r="AA3" s="2">
        <f>C8*D4</f>
        <v>8</v>
      </c>
    </row>
    <row r="4" spans="1:27" ht="15.45" x14ac:dyDescent="0.4">
      <c r="A4" s="29"/>
      <c r="B4" s="27" t="s">
        <v>1</v>
      </c>
      <c r="C4" s="25"/>
      <c r="D4" s="30">
        <v>1</v>
      </c>
      <c r="E4" s="25"/>
      <c r="F4" s="27" t="s">
        <v>2</v>
      </c>
      <c r="G4" s="31">
        <v>1.1023099999999999</v>
      </c>
      <c r="H4" s="32" t="s">
        <v>3</v>
      </c>
      <c r="I4" s="1"/>
      <c r="J4" s="1"/>
      <c r="K4" s="1"/>
      <c r="L4" s="1"/>
      <c r="AA4" s="2">
        <f>E8*D4</f>
        <v>7</v>
      </c>
    </row>
    <row r="5" spans="1:27" ht="15.45" x14ac:dyDescent="0.4">
      <c r="A5" s="29"/>
      <c r="B5" s="25"/>
      <c r="C5" s="25"/>
      <c r="D5" s="25"/>
      <c r="E5" s="25"/>
      <c r="F5" s="25"/>
      <c r="G5" s="25"/>
      <c r="H5" s="33"/>
      <c r="I5" s="1"/>
      <c r="J5" s="1"/>
      <c r="K5" s="1"/>
      <c r="L5" s="1"/>
      <c r="AA5" s="2">
        <f>G8*D4</f>
        <v>4</v>
      </c>
    </row>
    <row r="6" spans="1:27" ht="15.45" x14ac:dyDescent="0.4">
      <c r="A6" s="34" t="s">
        <v>127</v>
      </c>
      <c r="B6" s="35"/>
      <c r="C6" s="35"/>
      <c r="D6" s="35"/>
      <c r="E6" s="35"/>
      <c r="F6" s="35"/>
      <c r="G6" s="35"/>
      <c r="H6" s="36"/>
      <c r="I6" s="1"/>
      <c r="J6" s="1"/>
      <c r="K6" s="1"/>
      <c r="L6" s="1"/>
      <c r="AA6" s="2">
        <f>E8*D14</f>
        <v>5.95</v>
      </c>
    </row>
    <row r="7" spans="1:27" ht="15.45" x14ac:dyDescent="0.4">
      <c r="A7" s="37"/>
      <c r="B7" s="38"/>
      <c r="C7" s="39" t="s">
        <v>128</v>
      </c>
      <c r="D7" s="40"/>
      <c r="E7" s="39" t="s">
        <v>129</v>
      </c>
      <c r="F7" s="40"/>
      <c r="G7" s="39" t="s">
        <v>130</v>
      </c>
      <c r="H7" s="33"/>
      <c r="I7" s="1"/>
      <c r="J7" s="1"/>
      <c r="K7" s="1"/>
      <c r="L7" s="1"/>
      <c r="AA7" s="3">
        <f>F93</f>
        <v>0</v>
      </c>
    </row>
    <row r="8" spans="1:27" ht="15.45" x14ac:dyDescent="0.4">
      <c r="A8" s="41" t="s">
        <v>4</v>
      </c>
      <c r="B8" s="25"/>
      <c r="C8" s="42">
        <v>8</v>
      </c>
      <c r="D8" s="25"/>
      <c r="E8" s="42">
        <v>7</v>
      </c>
      <c r="F8" s="25"/>
      <c r="G8" s="42">
        <v>4</v>
      </c>
      <c r="H8" s="33"/>
      <c r="I8" s="1"/>
      <c r="J8" s="1"/>
      <c r="K8" s="1"/>
      <c r="L8" s="1"/>
      <c r="AA8" s="2">
        <f>IF(D18&lt;0.0001,0.0001,IF(D18&gt;1,1,D18))</f>
        <v>0.29979432277840551</v>
      </c>
    </row>
    <row r="9" spans="1:27" ht="15.45" x14ac:dyDescent="0.4">
      <c r="A9" s="41" t="s">
        <v>5</v>
      </c>
      <c r="B9" s="25"/>
      <c r="C9" s="43">
        <v>3460</v>
      </c>
      <c r="D9" s="25"/>
      <c r="E9" s="43">
        <v>3297</v>
      </c>
      <c r="F9" s="25"/>
      <c r="G9" s="43">
        <v>2023</v>
      </c>
      <c r="H9" s="33"/>
      <c r="I9" s="1"/>
      <c r="J9" s="1"/>
      <c r="K9" s="1"/>
      <c r="L9" s="1"/>
      <c r="AA9" s="3">
        <f ca="1">H77</f>
        <v>11761.740000000002</v>
      </c>
    </row>
    <row r="10" spans="1:27" ht="15.45" x14ac:dyDescent="0.4">
      <c r="A10" s="41" t="s">
        <v>6</v>
      </c>
      <c r="B10" s="25"/>
      <c r="C10" s="44">
        <f>AA3</f>
        <v>8</v>
      </c>
      <c r="D10" s="25"/>
      <c r="E10" s="44">
        <f>AA4</f>
        <v>7</v>
      </c>
      <c r="F10" s="25"/>
      <c r="G10" s="44">
        <f>AA5</f>
        <v>4</v>
      </c>
      <c r="H10" s="33"/>
      <c r="I10" s="1"/>
      <c r="J10" s="1"/>
      <c r="K10" s="1"/>
      <c r="L10" s="1"/>
      <c r="AA10" s="2">
        <f>E9*(D18*(D15-E8)+((C8-G8)/2)*EXP(-0.5*((D15-E8)/((C8-G8)/2))^2)/SQRT(2*PI()))</f>
        <v>1254.1210684333205</v>
      </c>
    </row>
    <row r="11" spans="1:27" ht="15.45" x14ac:dyDescent="0.4">
      <c r="A11" s="36"/>
      <c r="B11" s="36"/>
      <c r="C11" s="36"/>
      <c r="D11" s="36"/>
      <c r="E11" s="36"/>
      <c r="F11" s="36"/>
      <c r="G11" s="36"/>
      <c r="H11" s="36"/>
      <c r="I11" s="1"/>
      <c r="J11" s="1"/>
      <c r="K11" s="1"/>
      <c r="L11" s="1"/>
      <c r="AA11" s="3">
        <f ca="1">H88</f>
        <v>2270</v>
      </c>
    </row>
    <row r="12" spans="1:27" ht="15.45" x14ac:dyDescent="0.4">
      <c r="A12" s="41" t="s">
        <v>7</v>
      </c>
      <c r="B12" s="25"/>
      <c r="C12" s="45"/>
      <c r="D12" s="45"/>
      <c r="E12" s="45"/>
      <c r="F12" s="46"/>
      <c r="G12" s="45"/>
      <c r="H12" s="33"/>
      <c r="I12" s="1"/>
      <c r="J12" s="1"/>
      <c r="K12" s="1"/>
      <c r="L12" s="1"/>
      <c r="AA12" s="2">
        <f>(EXP(-0.5*((E8-D15)/((C8-G8)/2))^2)/SQRT(2*PI()))*(0.43618*(K33^(-1))-0.1202*(K33^(-2))+0.9373*(K33^(-3)))</f>
        <v>0.29979432277840551</v>
      </c>
    </row>
    <row r="13" spans="1:27" ht="15.45" x14ac:dyDescent="0.4">
      <c r="A13" s="41" t="s">
        <v>8</v>
      </c>
      <c r="B13" s="25"/>
      <c r="C13" s="45"/>
      <c r="D13" s="43">
        <v>1240</v>
      </c>
      <c r="E13" s="25"/>
      <c r="F13" s="46"/>
      <c r="G13" s="47"/>
      <c r="H13" s="48"/>
      <c r="I13" s="1"/>
      <c r="J13" s="1"/>
      <c r="K13" s="1"/>
      <c r="L13" s="1"/>
      <c r="AA13" s="3">
        <f>F92</f>
        <v>23079</v>
      </c>
    </row>
    <row r="14" spans="1:27" ht="15.45" x14ac:dyDescent="0.4">
      <c r="A14" s="41" t="s">
        <v>9</v>
      </c>
      <c r="B14" s="25"/>
      <c r="C14" s="25"/>
      <c r="D14" s="49">
        <v>0.85</v>
      </c>
      <c r="E14" s="25"/>
      <c r="F14" s="46"/>
      <c r="G14" s="25"/>
      <c r="H14" s="48"/>
      <c r="I14" s="1"/>
      <c r="J14" s="1"/>
      <c r="K14" s="4">
        <v>0</v>
      </c>
      <c r="L14" s="1"/>
      <c r="AA14" s="2">
        <f>D4*I116</f>
        <v>9896.1782249370372</v>
      </c>
    </row>
    <row r="15" spans="1:27" ht="15.45" x14ac:dyDescent="0.4">
      <c r="A15" s="41" t="s">
        <v>10</v>
      </c>
      <c r="B15" s="25"/>
      <c r="C15" s="25"/>
      <c r="D15" s="50">
        <f>AA6</f>
        <v>5.95</v>
      </c>
      <c r="E15" s="25"/>
      <c r="F15" s="46"/>
      <c r="G15" s="25"/>
      <c r="H15" s="51"/>
      <c r="I15" s="1"/>
      <c r="J15" s="1"/>
      <c r="K15" s="5">
        <f>AA7</f>
        <v>0</v>
      </c>
      <c r="L15" s="1"/>
      <c r="AA15" s="2">
        <f>D4*E8/G4</f>
        <v>6.3503007320989564</v>
      </c>
    </row>
    <row r="16" spans="1:27" ht="15.45" x14ac:dyDescent="0.4">
      <c r="A16" s="41" t="s">
        <v>11</v>
      </c>
      <c r="B16" s="25"/>
      <c r="C16" s="25"/>
      <c r="D16" s="52">
        <f>AA8</f>
        <v>0.29979432277840551</v>
      </c>
      <c r="E16" s="25"/>
      <c r="F16" s="25"/>
      <c r="G16" s="25"/>
      <c r="H16" s="33"/>
      <c r="I16" s="1"/>
      <c r="J16" s="1"/>
      <c r="K16" s="5">
        <f ca="1">AA9</f>
        <v>11761.740000000002</v>
      </c>
      <c r="L16" s="1"/>
      <c r="AA16" s="2">
        <f>E9*G4</f>
        <v>3634.3160699999999</v>
      </c>
    </row>
    <row r="17" spans="1:27" ht="15.45" x14ac:dyDescent="0.4">
      <c r="A17" s="41" t="s">
        <v>12</v>
      </c>
      <c r="B17" s="25"/>
      <c r="C17" s="25"/>
      <c r="D17" s="53">
        <f>AA10</f>
        <v>1254.1210684333205</v>
      </c>
      <c r="E17" s="25"/>
      <c r="F17" s="25"/>
      <c r="G17" s="54"/>
      <c r="H17" s="48"/>
      <c r="I17" s="1"/>
      <c r="J17" s="1"/>
      <c r="K17" s="5">
        <f ca="1">AA11</f>
        <v>2270</v>
      </c>
      <c r="L17" s="1"/>
      <c r="AA17" s="2">
        <f>D4</f>
        <v>1</v>
      </c>
    </row>
    <row r="18" spans="1:27" ht="15.45" x14ac:dyDescent="0.4">
      <c r="A18" s="41"/>
      <c r="B18" s="25"/>
      <c r="C18" s="25"/>
      <c r="D18" s="55">
        <f>AA12</f>
        <v>0.29979432277840551</v>
      </c>
      <c r="E18" s="25"/>
      <c r="F18" s="25"/>
      <c r="G18" s="25"/>
      <c r="H18" s="56"/>
      <c r="I18" s="1"/>
      <c r="J18" s="1"/>
      <c r="K18" s="5">
        <f>AA13</f>
        <v>23079</v>
      </c>
      <c r="L18" s="1"/>
      <c r="AA18" s="2">
        <f>F24*E24</f>
        <v>4491.9000000000005</v>
      </c>
    </row>
    <row r="19" spans="1:27" ht="15.45" x14ac:dyDescent="0.4">
      <c r="A19" s="41" t="s">
        <v>13</v>
      </c>
      <c r="B19" s="25"/>
      <c r="C19" s="25"/>
      <c r="D19" s="57" t="s">
        <v>146</v>
      </c>
      <c r="E19" s="25"/>
      <c r="F19" s="25"/>
      <c r="G19" s="25"/>
      <c r="H19" s="56"/>
      <c r="I19" s="1"/>
      <c r="J19" s="1"/>
      <c r="K19" s="6">
        <f>AA14</f>
        <v>9896.1782249370372</v>
      </c>
      <c r="L19" s="1"/>
      <c r="AA19" s="2">
        <f>G24*D4</f>
        <v>4491.9000000000005</v>
      </c>
    </row>
    <row r="20" spans="1:27" ht="15.45" x14ac:dyDescent="0.4">
      <c r="A20" s="36"/>
      <c r="B20" s="36"/>
      <c r="C20" s="36"/>
      <c r="D20" s="36"/>
      <c r="E20" s="36"/>
      <c r="F20" s="36"/>
      <c r="G20" s="36"/>
      <c r="H20" s="36"/>
      <c r="I20" s="1"/>
      <c r="J20" s="1"/>
      <c r="K20" s="6">
        <f>AA15</f>
        <v>6.3503007320989564</v>
      </c>
      <c r="L20" s="1"/>
      <c r="AA20" s="3">
        <f>H54</f>
        <v>24</v>
      </c>
    </row>
    <row r="21" spans="1:27" ht="15.45" x14ac:dyDescent="0.4">
      <c r="A21" s="29"/>
      <c r="B21" s="25"/>
      <c r="C21" s="25"/>
      <c r="D21" s="58" t="s">
        <v>14</v>
      </c>
      <c r="E21" s="58" t="s">
        <v>15</v>
      </c>
      <c r="F21" s="58" t="s">
        <v>16</v>
      </c>
      <c r="G21" s="58" t="s">
        <v>17</v>
      </c>
      <c r="H21" s="59" t="s">
        <v>18</v>
      </c>
      <c r="I21" s="1"/>
      <c r="J21" s="1"/>
      <c r="K21" s="6">
        <f>AA16</f>
        <v>3634.3160699999999</v>
      </c>
      <c r="L21" s="1"/>
      <c r="AA21" s="2">
        <f>F25*E25</f>
        <v>730.83999999999992</v>
      </c>
    </row>
    <row r="22" spans="1:27" ht="15.45" x14ac:dyDescent="0.4">
      <c r="A22" s="41" t="s">
        <v>19</v>
      </c>
      <c r="B22" s="25"/>
      <c r="C22" s="25"/>
      <c r="D22" s="58" t="s">
        <v>20</v>
      </c>
      <c r="E22" s="58" t="s">
        <v>21</v>
      </c>
      <c r="F22" s="58" t="s">
        <v>22</v>
      </c>
      <c r="G22" s="58" t="s">
        <v>23</v>
      </c>
      <c r="H22" s="59" t="s">
        <v>24</v>
      </c>
      <c r="I22" s="1"/>
      <c r="J22" s="1"/>
      <c r="K22" s="7" t="s">
        <v>25</v>
      </c>
      <c r="L22" s="1"/>
      <c r="AA22" s="2">
        <f>G25*D4</f>
        <v>730.83999999999992</v>
      </c>
    </row>
    <row r="23" spans="1:27" ht="15.45" x14ac:dyDescent="0.4">
      <c r="A23" s="41" t="s">
        <v>26</v>
      </c>
      <c r="B23" s="25"/>
      <c r="C23" s="25"/>
      <c r="D23" s="25"/>
      <c r="E23" s="25"/>
      <c r="F23" s="45"/>
      <c r="G23" s="54"/>
      <c r="H23" s="51"/>
      <c r="I23" s="1"/>
      <c r="J23" s="1"/>
      <c r="K23" s="6">
        <f>AA17</f>
        <v>1</v>
      </c>
      <c r="L23" s="1"/>
      <c r="AA23" s="3">
        <f>SUM(H26:H32)</f>
        <v>255</v>
      </c>
    </row>
    <row r="24" spans="1:27" ht="15.45" x14ac:dyDescent="0.4">
      <c r="A24" s="41" t="s">
        <v>131</v>
      </c>
      <c r="B24" s="25"/>
      <c r="C24" s="25"/>
      <c r="D24" s="60" t="s">
        <v>27</v>
      </c>
      <c r="E24" s="30">
        <v>210</v>
      </c>
      <c r="F24" s="43">
        <v>21.39</v>
      </c>
      <c r="G24" s="44">
        <f>AA18</f>
        <v>4491.9000000000005</v>
      </c>
      <c r="H24" s="61">
        <f>AA19</f>
        <v>4491.9000000000005</v>
      </c>
      <c r="I24" s="1"/>
      <c r="J24" s="1"/>
      <c r="K24" s="5">
        <f>AA20</f>
        <v>24</v>
      </c>
      <c r="L24" s="1"/>
      <c r="AA24" s="3">
        <f>SUM(H36:H51)</f>
        <v>448</v>
      </c>
    </row>
    <row r="25" spans="1:27" ht="15.45" x14ac:dyDescent="0.4">
      <c r="A25" s="41" t="s">
        <v>132</v>
      </c>
      <c r="B25" s="25"/>
      <c r="C25" s="25"/>
      <c r="D25" s="60" t="s">
        <v>27</v>
      </c>
      <c r="E25" s="30">
        <v>30.2</v>
      </c>
      <c r="F25" s="43">
        <v>24.2</v>
      </c>
      <c r="G25" s="44">
        <f>AA21</f>
        <v>730.83999999999992</v>
      </c>
      <c r="H25" s="61">
        <f>AA22</f>
        <v>730.83999999999992</v>
      </c>
      <c r="I25" s="1"/>
      <c r="J25" s="1"/>
      <c r="K25" s="5">
        <f>AA23</f>
        <v>255</v>
      </c>
      <c r="L25" s="1"/>
      <c r="AA25" s="2">
        <f>F27*E27</f>
        <v>154</v>
      </c>
    </row>
    <row r="26" spans="1:27" ht="15.45" x14ac:dyDescent="0.4">
      <c r="A26" s="41" t="s">
        <v>28</v>
      </c>
      <c r="B26" s="25"/>
      <c r="C26" s="25"/>
      <c r="D26" s="25"/>
      <c r="E26" s="25"/>
      <c r="F26" s="62"/>
      <c r="G26" s="54"/>
      <c r="H26" s="51"/>
      <c r="I26" s="1"/>
      <c r="J26" s="1"/>
      <c r="K26" s="5">
        <f>AA24</f>
        <v>448</v>
      </c>
      <c r="L26" s="1"/>
      <c r="AA26" s="2">
        <f>G27*D4</f>
        <v>154</v>
      </c>
    </row>
    <row r="27" spans="1:27" ht="15.45" x14ac:dyDescent="0.4">
      <c r="A27" s="41" t="s">
        <v>29</v>
      </c>
      <c r="B27" s="60" t="s">
        <v>30</v>
      </c>
      <c r="C27" s="45"/>
      <c r="D27" s="60" t="s">
        <v>31</v>
      </c>
      <c r="E27" s="30">
        <v>125</v>
      </c>
      <c r="F27" s="63">
        <v>1.232</v>
      </c>
      <c r="G27" s="44">
        <f>AA25</f>
        <v>154</v>
      </c>
      <c r="H27" s="61">
        <f>AA26</f>
        <v>154</v>
      </c>
      <c r="I27" s="1"/>
      <c r="J27" s="1"/>
      <c r="K27" s="5">
        <f>AA27</f>
        <v>6912.7400000000007</v>
      </c>
      <c r="L27" s="1"/>
      <c r="AA27" s="3">
        <f>SUM(H24:H25,H55,H58:H60)+H57</f>
        <v>6912.7400000000007</v>
      </c>
    </row>
    <row r="28" spans="1:27" ht="15.45" x14ac:dyDescent="0.4">
      <c r="A28" s="41" t="s">
        <v>32</v>
      </c>
      <c r="B28" s="60" t="s">
        <v>33</v>
      </c>
      <c r="C28" s="25"/>
      <c r="D28" s="60" t="s">
        <v>31</v>
      </c>
      <c r="E28" s="30">
        <v>100</v>
      </c>
      <c r="F28" s="63">
        <v>1.01</v>
      </c>
      <c r="G28" s="44">
        <f>AA28</f>
        <v>101</v>
      </c>
      <c r="H28" s="61">
        <f>AA29</f>
        <v>101</v>
      </c>
      <c r="I28" s="1"/>
      <c r="J28" s="1"/>
      <c r="K28" s="5">
        <f>AA30</f>
        <v>50</v>
      </c>
      <c r="L28" s="1"/>
      <c r="AA28" s="2">
        <f>F28*E28</f>
        <v>101</v>
      </c>
    </row>
    <row r="29" spans="1:27" ht="15.45" x14ac:dyDescent="0.4">
      <c r="A29" s="41" t="s">
        <v>34</v>
      </c>
      <c r="B29" s="64" t="s">
        <v>117</v>
      </c>
      <c r="C29" s="45"/>
      <c r="D29" s="60" t="s">
        <v>31</v>
      </c>
      <c r="E29" s="30">
        <v>0</v>
      </c>
      <c r="F29" s="63">
        <v>0</v>
      </c>
      <c r="G29" s="44">
        <f>AA31</f>
        <v>0</v>
      </c>
      <c r="H29" s="61">
        <f>AA32</f>
        <v>0</v>
      </c>
      <c r="I29" s="1"/>
      <c r="J29" s="1"/>
      <c r="K29" s="6">
        <f>AA33</f>
        <v>2266</v>
      </c>
      <c r="L29" s="1"/>
      <c r="AA29" s="2">
        <f>G28*D4</f>
        <v>101</v>
      </c>
    </row>
    <row r="30" spans="1:27" ht="15.45" x14ac:dyDescent="0.4">
      <c r="A30" s="41" t="s">
        <v>36</v>
      </c>
      <c r="B30" s="64" t="s">
        <v>35</v>
      </c>
      <c r="C30" s="45"/>
      <c r="D30" s="60" t="s">
        <v>31</v>
      </c>
      <c r="E30" s="30">
        <v>0</v>
      </c>
      <c r="F30" s="63">
        <v>0</v>
      </c>
      <c r="G30" s="44">
        <f>AA34</f>
        <v>0</v>
      </c>
      <c r="H30" s="61">
        <f>AA35</f>
        <v>0</v>
      </c>
      <c r="I30" s="1"/>
      <c r="J30" s="1"/>
      <c r="K30" s="1"/>
      <c r="L30" s="1"/>
      <c r="AA30" s="3">
        <f>H56</f>
        <v>50</v>
      </c>
    </row>
    <row r="31" spans="1:27" ht="15.45" x14ac:dyDescent="0.4">
      <c r="A31" s="41" t="s">
        <v>37</v>
      </c>
      <c r="B31" s="64" t="s">
        <v>35</v>
      </c>
      <c r="C31" s="45"/>
      <c r="D31" s="60" t="s">
        <v>31</v>
      </c>
      <c r="E31" s="30">
        <v>0</v>
      </c>
      <c r="F31" s="63">
        <v>0</v>
      </c>
      <c r="G31" s="44">
        <f>AA36</f>
        <v>0</v>
      </c>
      <c r="H31" s="61">
        <f>AA37</f>
        <v>0</v>
      </c>
      <c r="I31" s="1"/>
      <c r="J31" s="1"/>
      <c r="K31" s="1"/>
      <c r="L31" s="1"/>
      <c r="AA31" s="2">
        <f>F29*E29</f>
        <v>0</v>
      </c>
    </row>
    <row r="32" spans="1:27" ht="15.45" x14ac:dyDescent="0.4">
      <c r="A32" s="41"/>
      <c r="B32" s="65"/>
      <c r="C32" s="25"/>
      <c r="D32" s="25"/>
      <c r="E32" s="25"/>
      <c r="F32" s="25"/>
      <c r="G32" s="25"/>
      <c r="H32" s="33"/>
      <c r="I32" s="1"/>
      <c r="J32" s="7" t="s">
        <v>38</v>
      </c>
      <c r="K32" s="7" t="s">
        <v>39</v>
      </c>
      <c r="L32" s="1"/>
      <c r="AA32" s="2">
        <f>G29*D4</f>
        <v>0</v>
      </c>
    </row>
    <row r="33" spans="1:27" ht="15.45" x14ac:dyDescent="0.4">
      <c r="A33" s="41"/>
      <c r="B33" s="25"/>
      <c r="C33" s="25"/>
      <c r="D33" s="58" t="s">
        <v>14</v>
      </c>
      <c r="E33" s="58" t="s">
        <v>15</v>
      </c>
      <c r="F33" s="58" t="s">
        <v>16</v>
      </c>
      <c r="G33" s="58" t="s">
        <v>17</v>
      </c>
      <c r="H33" s="59" t="s">
        <v>18</v>
      </c>
      <c r="I33" s="1"/>
      <c r="J33" s="7" t="s">
        <v>40</v>
      </c>
      <c r="K33" s="6">
        <f>AA38</f>
        <v>1.17465175</v>
      </c>
      <c r="L33" s="1"/>
      <c r="AA33" s="2">
        <f>SUM(H61:H64)</f>
        <v>2266</v>
      </c>
    </row>
    <row r="34" spans="1:27" ht="15.45" x14ac:dyDescent="0.4">
      <c r="A34" s="41"/>
      <c r="B34" s="25"/>
      <c r="C34" s="25"/>
      <c r="D34" s="58" t="s">
        <v>20</v>
      </c>
      <c r="E34" s="58" t="s">
        <v>21</v>
      </c>
      <c r="F34" s="58" t="s">
        <v>22</v>
      </c>
      <c r="G34" s="58" t="s">
        <v>23</v>
      </c>
      <c r="H34" s="59" t="s">
        <v>24</v>
      </c>
      <c r="I34" s="1"/>
      <c r="J34" s="1"/>
      <c r="K34" s="5">
        <f>AA39</f>
        <v>1240</v>
      </c>
      <c r="L34" s="1"/>
      <c r="AA34" s="2">
        <f>F30*E30</f>
        <v>0</v>
      </c>
    </row>
    <row r="35" spans="1:27" ht="15.45" x14ac:dyDescent="0.4">
      <c r="A35" s="41" t="s">
        <v>41</v>
      </c>
      <c r="B35" s="25"/>
      <c r="C35" s="25"/>
      <c r="D35" s="25"/>
      <c r="E35" s="25"/>
      <c r="F35" s="45"/>
      <c r="G35" s="54"/>
      <c r="H35" s="51"/>
      <c r="I35" s="1"/>
      <c r="J35" s="1"/>
      <c r="K35" s="5">
        <f>AA40</f>
        <v>1240</v>
      </c>
      <c r="L35" s="1"/>
      <c r="AA35" s="2">
        <f>G30*D4</f>
        <v>0</v>
      </c>
    </row>
    <row r="36" spans="1:27" ht="15.45" x14ac:dyDescent="0.4">
      <c r="A36" s="41" t="s">
        <v>42</v>
      </c>
      <c r="B36" s="25"/>
      <c r="C36" s="25"/>
      <c r="D36" s="25"/>
      <c r="E36" s="25"/>
      <c r="F36" s="45"/>
      <c r="G36" s="54"/>
      <c r="H36" s="51"/>
      <c r="I36" s="1"/>
      <c r="J36" s="1"/>
      <c r="K36" s="1"/>
      <c r="L36" s="1"/>
      <c r="AA36" s="2">
        <f>F31*E31</f>
        <v>0</v>
      </c>
    </row>
    <row r="37" spans="1:27" ht="15.45" x14ac:dyDescent="0.4">
      <c r="A37" s="41" t="s">
        <v>29</v>
      </c>
      <c r="B37" s="60" t="s">
        <v>43</v>
      </c>
      <c r="C37" s="25"/>
      <c r="D37" s="60" t="s">
        <v>31</v>
      </c>
      <c r="E37" s="30">
        <v>1</v>
      </c>
      <c r="F37" s="43">
        <v>200</v>
      </c>
      <c r="G37" s="44">
        <f>AA41</f>
        <v>200</v>
      </c>
      <c r="H37" s="61">
        <f>AA42</f>
        <v>200</v>
      </c>
      <c r="I37" s="1"/>
      <c r="J37" s="1"/>
      <c r="K37" s="1"/>
      <c r="L37" s="1"/>
      <c r="AA37" s="2">
        <f>G31*D4</f>
        <v>0</v>
      </c>
    </row>
    <row r="38" spans="1:27" ht="15.45" x14ac:dyDescent="0.4">
      <c r="A38" s="41" t="s">
        <v>32</v>
      </c>
      <c r="B38" s="60" t="s">
        <v>44</v>
      </c>
      <c r="C38" s="25"/>
      <c r="D38" s="60" t="s">
        <v>31</v>
      </c>
      <c r="E38" s="30">
        <v>0</v>
      </c>
      <c r="F38" s="43">
        <v>0</v>
      </c>
      <c r="G38" s="44">
        <f>AA43</f>
        <v>0</v>
      </c>
      <c r="H38" s="61">
        <f>AA44</f>
        <v>0</v>
      </c>
      <c r="I38" s="1"/>
      <c r="J38" s="1"/>
      <c r="K38" s="1"/>
      <c r="L38" s="1"/>
      <c r="AA38" s="2">
        <f>(1+0.33267*((E8-D15)/((C8-G8)/2)))</f>
        <v>1.17465175</v>
      </c>
    </row>
    <row r="39" spans="1:27" ht="15.45" x14ac:dyDescent="0.4">
      <c r="A39" s="41" t="s">
        <v>34</v>
      </c>
      <c r="B39" s="60" t="s">
        <v>44</v>
      </c>
      <c r="C39" s="25"/>
      <c r="D39" s="60" t="s">
        <v>31</v>
      </c>
      <c r="E39" s="30">
        <v>0</v>
      </c>
      <c r="F39" s="43">
        <v>0</v>
      </c>
      <c r="G39" s="44">
        <f>AA45</f>
        <v>0</v>
      </c>
      <c r="H39" s="61">
        <f>AA46</f>
        <v>0</v>
      </c>
      <c r="I39" s="1"/>
      <c r="J39" s="1"/>
      <c r="K39" s="1"/>
      <c r="L39" s="1"/>
      <c r="AA39" s="3">
        <f>H57</f>
        <v>1240</v>
      </c>
    </row>
    <row r="40" spans="1:27" ht="15.45" x14ac:dyDescent="0.4">
      <c r="A40" s="41" t="s">
        <v>45</v>
      </c>
      <c r="B40" s="25"/>
      <c r="C40" s="25"/>
      <c r="D40" s="25"/>
      <c r="E40" s="25"/>
      <c r="F40" s="25"/>
      <c r="G40" s="54"/>
      <c r="H40" s="51"/>
      <c r="I40" s="1"/>
      <c r="J40" s="1"/>
      <c r="K40" s="1"/>
      <c r="L40" s="1"/>
      <c r="AA40" s="3">
        <f>K34+0</f>
        <v>1240</v>
      </c>
    </row>
    <row r="41" spans="1:27" ht="15.45" x14ac:dyDescent="0.4">
      <c r="A41" s="41" t="s">
        <v>29</v>
      </c>
      <c r="B41" s="60" t="s">
        <v>46</v>
      </c>
      <c r="C41" s="25"/>
      <c r="D41" s="60" t="s">
        <v>31</v>
      </c>
      <c r="E41" s="30">
        <v>1</v>
      </c>
      <c r="F41" s="43">
        <v>146</v>
      </c>
      <c r="G41" s="44">
        <f>AA47</f>
        <v>146</v>
      </c>
      <c r="H41" s="61">
        <f>AA48</f>
        <v>146</v>
      </c>
      <c r="I41" s="1"/>
      <c r="J41" s="1"/>
      <c r="K41" s="1"/>
      <c r="L41" s="1"/>
      <c r="AA41" s="2">
        <f>F37*E37</f>
        <v>200</v>
      </c>
    </row>
    <row r="42" spans="1:27" ht="15.45" x14ac:dyDescent="0.4">
      <c r="A42" s="41" t="s">
        <v>32</v>
      </c>
      <c r="B42" s="60" t="s">
        <v>44</v>
      </c>
      <c r="C42" s="25"/>
      <c r="D42" s="60" t="s">
        <v>31</v>
      </c>
      <c r="E42" s="30">
        <v>0</v>
      </c>
      <c r="F42" s="43">
        <v>0</v>
      </c>
      <c r="G42" s="44">
        <f>AA49</f>
        <v>0</v>
      </c>
      <c r="H42" s="61">
        <f>AA50</f>
        <v>0</v>
      </c>
      <c r="I42" s="8"/>
      <c r="J42" s="8"/>
      <c r="K42" s="8"/>
      <c r="L42" s="1"/>
      <c r="AA42" s="2">
        <f>G37*D4</f>
        <v>200</v>
      </c>
    </row>
    <row r="43" spans="1:27" ht="15.45" x14ac:dyDescent="0.4">
      <c r="A43" s="41" t="s">
        <v>47</v>
      </c>
      <c r="B43" s="25"/>
      <c r="C43" s="45"/>
      <c r="D43" s="25"/>
      <c r="E43" s="25"/>
      <c r="F43" s="45"/>
      <c r="G43" s="54"/>
      <c r="H43" s="51"/>
      <c r="I43" s="1"/>
      <c r="J43" s="1"/>
      <c r="K43" s="1"/>
      <c r="L43" s="1"/>
      <c r="AA43" s="2">
        <f>F38*E38</f>
        <v>0</v>
      </c>
    </row>
    <row r="44" spans="1:27" ht="15.45" x14ac:dyDescent="0.4">
      <c r="A44" s="41" t="s">
        <v>29</v>
      </c>
      <c r="B44" s="60" t="s">
        <v>48</v>
      </c>
      <c r="C44" s="45"/>
      <c r="D44" s="60" t="s">
        <v>31</v>
      </c>
      <c r="E44" s="30">
        <v>1</v>
      </c>
      <c r="F44" s="43">
        <v>102</v>
      </c>
      <c r="G44" s="44">
        <f>AA51</f>
        <v>102</v>
      </c>
      <c r="H44" s="61">
        <f>AA52</f>
        <v>102</v>
      </c>
      <c r="I44" s="1"/>
      <c r="J44" s="1"/>
      <c r="K44" s="1"/>
      <c r="L44" s="1"/>
      <c r="AA44" s="2">
        <f>G38*D4</f>
        <v>0</v>
      </c>
    </row>
    <row r="45" spans="1:27" ht="15.45" x14ac:dyDescent="0.4">
      <c r="A45" s="41" t="s">
        <v>32</v>
      </c>
      <c r="B45" s="60" t="s">
        <v>44</v>
      </c>
      <c r="C45" s="45"/>
      <c r="D45" s="60" t="s">
        <v>31</v>
      </c>
      <c r="E45" s="30">
        <v>0</v>
      </c>
      <c r="F45" s="43">
        <v>0</v>
      </c>
      <c r="G45" s="44">
        <f>AA53</f>
        <v>0</v>
      </c>
      <c r="H45" s="61">
        <f>AA54</f>
        <v>0</v>
      </c>
      <c r="I45" s="1"/>
      <c r="J45" s="1"/>
      <c r="K45" s="1"/>
      <c r="L45" s="1"/>
      <c r="AA45" s="2">
        <f>F39*E39</f>
        <v>0</v>
      </c>
    </row>
    <row r="46" spans="1:27" ht="15.45" x14ac:dyDescent="0.4">
      <c r="A46" s="41" t="s">
        <v>34</v>
      </c>
      <c r="B46" s="60" t="s">
        <v>44</v>
      </c>
      <c r="C46" s="25"/>
      <c r="D46" s="60" t="s">
        <v>31</v>
      </c>
      <c r="E46" s="30">
        <v>0</v>
      </c>
      <c r="F46" s="43">
        <v>0</v>
      </c>
      <c r="G46" s="44">
        <f>AA55</f>
        <v>0</v>
      </c>
      <c r="H46" s="61">
        <f>AA56</f>
        <v>0</v>
      </c>
      <c r="I46" s="8"/>
      <c r="J46" s="8"/>
      <c r="K46" s="8"/>
      <c r="L46" s="1"/>
      <c r="AA46" s="2">
        <f>G39*D4</f>
        <v>0</v>
      </c>
    </row>
    <row r="47" spans="1:27" ht="15.45" x14ac:dyDescent="0.4">
      <c r="A47" s="41" t="s">
        <v>49</v>
      </c>
      <c r="B47" s="25"/>
      <c r="C47" s="25"/>
      <c r="D47" s="25"/>
      <c r="E47" s="25"/>
      <c r="F47" s="45"/>
      <c r="G47" s="54"/>
      <c r="H47" s="51"/>
      <c r="I47" s="1"/>
      <c r="J47" s="1"/>
      <c r="K47" s="1"/>
      <c r="L47" s="1"/>
      <c r="AA47" s="2">
        <f>F41*E41</f>
        <v>146</v>
      </c>
    </row>
    <row r="48" spans="1:27" ht="15.45" x14ac:dyDescent="0.4">
      <c r="A48" s="41" t="s">
        <v>29</v>
      </c>
      <c r="B48" s="60" t="s">
        <v>50</v>
      </c>
      <c r="C48" s="25"/>
      <c r="D48" s="60" t="s">
        <v>31</v>
      </c>
      <c r="E48" s="30">
        <v>0</v>
      </c>
      <c r="F48" s="43">
        <v>0</v>
      </c>
      <c r="G48" s="44">
        <f>AA57</f>
        <v>0</v>
      </c>
      <c r="H48" s="61">
        <f>AA58</f>
        <v>0</v>
      </c>
      <c r="I48" s="1"/>
      <c r="J48" s="1"/>
      <c r="K48" s="1"/>
      <c r="L48" s="1"/>
      <c r="AA48" s="2">
        <f>G41*D4</f>
        <v>146</v>
      </c>
    </row>
    <row r="49" spans="1:27" ht="15.45" x14ac:dyDescent="0.4">
      <c r="A49" s="41" t="s">
        <v>32</v>
      </c>
      <c r="B49" s="60" t="s">
        <v>44</v>
      </c>
      <c r="C49" s="25"/>
      <c r="D49" s="60" t="s">
        <v>31</v>
      </c>
      <c r="E49" s="30">
        <v>0</v>
      </c>
      <c r="F49" s="43">
        <v>0</v>
      </c>
      <c r="G49" s="44">
        <f>AA59</f>
        <v>0</v>
      </c>
      <c r="H49" s="61">
        <f>AA60</f>
        <v>0</v>
      </c>
      <c r="I49" s="1"/>
      <c r="J49" s="1"/>
      <c r="K49" s="1"/>
      <c r="L49" s="1"/>
      <c r="AA49" s="2">
        <f>F42*E42</f>
        <v>0</v>
      </c>
    </row>
    <row r="50" spans="1:27" ht="15.45" x14ac:dyDescent="0.4">
      <c r="A50" s="41" t="s">
        <v>34</v>
      </c>
      <c r="B50" s="60" t="s">
        <v>44</v>
      </c>
      <c r="C50" s="25"/>
      <c r="D50" s="60" t="s">
        <v>31</v>
      </c>
      <c r="E50" s="30">
        <v>0</v>
      </c>
      <c r="F50" s="43">
        <v>0</v>
      </c>
      <c r="G50" s="44">
        <f>AA61</f>
        <v>0</v>
      </c>
      <c r="H50" s="61">
        <f>AA62</f>
        <v>0</v>
      </c>
      <c r="I50" s="1"/>
      <c r="J50" s="1"/>
      <c r="K50" s="1"/>
      <c r="L50" s="1"/>
      <c r="AA50" s="2">
        <f>G42*D4</f>
        <v>0</v>
      </c>
    </row>
    <row r="51" spans="1:27" ht="15.45" x14ac:dyDescent="0.4">
      <c r="A51" s="29"/>
      <c r="B51" s="25"/>
      <c r="C51" s="25"/>
      <c r="D51" s="25"/>
      <c r="E51" s="25"/>
      <c r="F51" s="45"/>
      <c r="G51" s="54"/>
      <c r="H51" s="51"/>
      <c r="I51" s="1"/>
      <c r="J51" s="1"/>
      <c r="K51" s="1"/>
      <c r="L51" s="1"/>
      <c r="AA51" s="2">
        <f>F44*E44</f>
        <v>102</v>
      </c>
    </row>
    <row r="52" spans="1:27" ht="15.45" x14ac:dyDescent="0.4">
      <c r="A52" s="29"/>
      <c r="B52" s="25"/>
      <c r="C52" s="25"/>
      <c r="D52" s="58" t="s">
        <v>14</v>
      </c>
      <c r="E52" s="58" t="s">
        <v>15</v>
      </c>
      <c r="F52" s="58" t="s">
        <v>16</v>
      </c>
      <c r="G52" s="58" t="s">
        <v>17</v>
      </c>
      <c r="H52" s="59" t="s">
        <v>18</v>
      </c>
      <c r="I52" s="1"/>
      <c r="J52" s="1"/>
      <c r="K52" s="1"/>
      <c r="L52" s="1"/>
      <c r="AA52" s="2">
        <f>G44*D4</f>
        <v>102</v>
      </c>
    </row>
    <row r="53" spans="1:27" ht="15.45" x14ac:dyDescent="0.4">
      <c r="A53" s="41" t="s">
        <v>51</v>
      </c>
      <c r="B53" s="25"/>
      <c r="C53" s="25"/>
      <c r="D53" s="58" t="s">
        <v>20</v>
      </c>
      <c r="E53" s="58" t="s">
        <v>21</v>
      </c>
      <c r="F53" s="58" t="s">
        <v>22</v>
      </c>
      <c r="G53" s="58" t="s">
        <v>23</v>
      </c>
      <c r="H53" s="59" t="s">
        <v>24</v>
      </c>
      <c r="I53" s="1"/>
      <c r="J53" s="1"/>
      <c r="K53" s="1"/>
      <c r="L53" s="1"/>
      <c r="AA53" s="2">
        <f>F45*E45</f>
        <v>0</v>
      </c>
    </row>
    <row r="54" spans="1:27" ht="15.45" x14ac:dyDescent="0.4">
      <c r="A54" s="41" t="s">
        <v>52</v>
      </c>
      <c r="B54" s="25"/>
      <c r="C54" s="25"/>
      <c r="D54" s="60" t="s">
        <v>55</v>
      </c>
      <c r="E54" s="30">
        <v>1</v>
      </c>
      <c r="F54" s="43">
        <v>24</v>
      </c>
      <c r="G54" s="44">
        <f>AA63</f>
        <v>24</v>
      </c>
      <c r="H54" s="61">
        <f>AA64</f>
        <v>24</v>
      </c>
      <c r="I54" s="1"/>
      <c r="J54" s="1"/>
      <c r="K54" s="1"/>
      <c r="L54" s="1"/>
      <c r="AA54" s="2">
        <f>G45*D4</f>
        <v>0</v>
      </c>
    </row>
    <row r="55" spans="1:27" ht="15.45" x14ac:dyDescent="0.4">
      <c r="A55" s="41" t="s">
        <v>53</v>
      </c>
      <c r="B55" s="25"/>
      <c r="C55" s="25"/>
      <c r="D55" s="60" t="s">
        <v>54</v>
      </c>
      <c r="E55" s="30">
        <v>0</v>
      </c>
      <c r="F55" s="43">
        <f>AA65</f>
        <v>0.182</v>
      </c>
      <c r="G55" s="44">
        <f>AA66</f>
        <v>0</v>
      </c>
      <c r="H55" s="61">
        <f>AA67</f>
        <v>0</v>
      </c>
      <c r="I55" s="1"/>
      <c r="J55" s="1"/>
      <c r="K55" s="1"/>
      <c r="L55" s="1"/>
      <c r="AA55" s="2">
        <f>F46*E46</f>
        <v>0</v>
      </c>
    </row>
    <row r="56" spans="1:27" ht="15.45" x14ac:dyDescent="0.4">
      <c r="A56" s="41" t="s">
        <v>120</v>
      </c>
      <c r="B56" s="25"/>
      <c r="C56" s="25"/>
      <c r="D56" s="60" t="s">
        <v>55</v>
      </c>
      <c r="E56" s="30">
        <v>1</v>
      </c>
      <c r="F56" s="43">
        <v>50</v>
      </c>
      <c r="G56" s="44">
        <f>AA68</f>
        <v>50</v>
      </c>
      <c r="H56" s="61">
        <f>AA69</f>
        <v>50</v>
      </c>
      <c r="I56" s="1"/>
      <c r="J56" s="1"/>
      <c r="K56" s="1"/>
      <c r="L56" s="1"/>
      <c r="AA56" s="2">
        <f>G46*D4</f>
        <v>0</v>
      </c>
    </row>
    <row r="57" spans="1:27" ht="15.45" x14ac:dyDescent="0.4">
      <c r="A57" s="41" t="s">
        <v>7</v>
      </c>
      <c r="B57" s="25"/>
      <c r="C57" s="25"/>
      <c r="D57" s="64" t="s">
        <v>56</v>
      </c>
      <c r="E57" s="58">
        <f>AA70</f>
        <v>1</v>
      </c>
      <c r="F57" s="50">
        <f>AA71</f>
        <v>1240</v>
      </c>
      <c r="G57" s="44">
        <f>AA72</f>
        <v>1240</v>
      </c>
      <c r="H57" s="61">
        <f>AA73</f>
        <v>1240</v>
      </c>
      <c r="I57" s="1"/>
      <c r="J57" s="1"/>
      <c r="K57" s="1"/>
      <c r="L57" s="1"/>
      <c r="AA57" s="2">
        <f>F48*E48</f>
        <v>0</v>
      </c>
    </row>
    <row r="58" spans="1:27" ht="15.45" x14ac:dyDescent="0.4">
      <c r="A58" s="41" t="s">
        <v>57</v>
      </c>
      <c r="B58" s="25"/>
      <c r="C58" s="25"/>
      <c r="D58" s="60" t="s">
        <v>54</v>
      </c>
      <c r="E58" s="30">
        <v>0</v>
      </c>
      <c r="F58" s="43">
        <v>0</v>
      </c>
      <c r="G58" s="44">
        <f>AA74</f>
        <v>0</v>
      </c>
      <c r="H58" s="61">
        <f>AA75</f>
        <v>0</v>
      </c>
      <c r="I58" s="1"/>
      <c r="J58" s="1"/>
      <c r="K58" s="1"/>
      <c r="L58" s="1"/>
      <c r="AA58" s="2">
        <f>G48*D4</f>
        <v>0</v>
      </c>
    </row>
    <row r="59" spans="1:27" ht="15.45" x14ac:dyDescent="0.4">
      <c r="A59" s="66" t="s">
        <v>118</v>
      </c>
      <c r="B59" s="25"/>
      <c r="C59" s="25"/>
      <c r="D59" s="60" t="s">
        <v>55</v>
      </c>
      <c r="E59" s="30">
        <v>1</v>
      </c>
      <c r="F59" s="43">
        <v>345</v>
      </c>
      <c r="G59" s="44">
        <f>AA76</f>
        <v>345</v>
      </c>
      <c r="H59" s="61">
        <f>AA77</f>
        <v>345</v>
      </c>
      <c r="I59" s="1"/>
      <c r="J59" s="1"/>
      <c r="K59" s="1"/>
      <c r="L59" s="1"/>
      <c r="AA59" s="2">
        <f>F49*E49</f>
        <v>0</v>
      </c>
    </row>
    <row r="60" spans="1:27" ht="15.45" x14ac:dyDescent="0.4">
      <c r="A60" s="66" t="s">
        <v>119</v>
      </c>
      <c r="B60" s="25"/>
      <c r="C60" s="25"/>
      <c r="D60" s="60" t="s">
        <v>55</v>
      </c>
      <c r="E60" s="30">
        <v>1</v>
      </c>
      <c r="F60" s="43">
        <v>105</v>
      </c>
      <c r="G60" s="44">
        <f>AA78</f>
        <v>105</v>
      </c>
      <c r="H60" s="61">
        <f>AA79</f>
        <v>105</v>
      </c>
      <c r="I60" s="1"/>
      <c r="J60" s="1"/>
      <c r="K60" s="1"/>
      <c r="L60" s="1"/>
      <c r="AA60" s="2">
        <f>G49*D4</f>
        <v>0</v>
      </c>
    </row>
    <row r="61" spans="1:27" ht="15.45" x14ac:dyDescent="0.4">
      <c r="A61" s="66" t="s">
        <v>148</v>
      </c>
      <c r="B61" s="25"/>
      <c r="C61" s="25"/>
      <c r="D61" s="60" t="s">
        <v>55</v>
      </c>
      <c r="E61" s="30">
        <v>1</v>
      </c>
      <c r="F61" s="43">
        <v>26</v>
      </c>
      <c r="G61" s="44">
        <f>AA80</f>
        <v>26</v>
      </c>
      <c r="H61" s="61">
        <f>AA81</f>
        <v>26</v>
      </c>
      <c r="I61" s="1"/>
      <c r="J61" s="1"/>
      <c r="K61" s="1"/>
      <c r="L61" s="1"/>
      <c r="AA61" s="2">
        <f>F50*E50</f>
        <v>0</v>
      </c>
    </row>
    <row r="62" spans="1:27" ht="15.45" x14ac:dyDescent="0.4">
      <c r="A62" s="41" t="s">
        <v>58</v>
      </c>
      <c r="B62" s="25"/>
      <c r="C62" s="25"/>
      <c r="D62" s="60" t="s">
        <v>35</v>
      </c>
      <c r="E62" s="54"/>
      <c r="F62" s="45"/>
      <c r="G62" s="54"/>
      <c r="H62" s="33"/>
      <c r="I62" s="1"/>
      <c r="J62" s="1"/>
      <c r="K62" s="1"/>
      <c r="L62" s="1"/>
      <c r="AA62" s="2">
        <f>G50*D4</f>
        <v>0</v>
      </c>
    </row>
    <row r="63" spans="1:27" ht="15.45" x14ac:dyDescent="0.4">
      <c r="A63" s="41" t="s">
        <v>29</v>
      </c>
      <c r="B63" s="67" t="s">
        <v>133</v>
      </c>
      <c r="C63" s="68"/>
      <c r="D63" s="60" t="s">
        <v>55</v>
      </c>
      <c r="E63" s="30">
        <v>1</v>
      </c>
      <c r="F63" s="43">
        <v>2240</v>
      </c>
      <c r="G63" s="44">
        <f>AA82</f>
        <v>2240</v>
      </c>
      <c r="H63" s="61">
        <f>AA83</f>
        <v>2240</v>
      </c>
      <c r="I63" s="1"/>
      <c r="J63" s="1"/>
      <c r="K63" s="1"/>
      <c r="L63" s="1"/>
      <c r="AA63" s="2">
        <f>F54*E54</f>
        <v>24</v>
      </c>
    </row>
    <row r="64" spans="1:27" ht="15.45" x14ac:dyDescent="0.4">
      <c r="A64" s="41" t="s">
        <v>32</v>
      </c>
      <c r="B64" s="69" t="s">
        <v>35</v>
      </c>
      <c r="C64" s="70"/>
      <c r="D64" s="60" t="s">
        <v>55</v>
      </c>
      <c r="E64" s="30">
        <v>0</v>
      </c>
      <c r="F64" s="43">
        <v>0</v>
      </c>
      <c r="G64" s="44">
        <f>AA84</f>
        <v>0</v>
      </c>
      <c r="H64" s="61">
        <f>AA85</f>
        <v>0</v>
      </c>
      <c r="I64" s="1"/>
      <c r="J64" s="1"/>
      <c r="K64" s="1"/>
      <c r="L64" s="1"/>
      <c r="AA64" s="2">
        <f>G54*D4</f>
        <v>24</v>
      </c>
    </row>
    <row r="65" spans="1:27" ht="15.45" x14ac:dyDescent="0.4">
      <c r="A65" s="29"/>
      <c r="B65" s="25"/>
      <c r="C65" s="25"/>
      <c r="D65" s="25"/>
      <c r="E65" s="54"/>
      <c r="F65" s="45"/>
      <c r="G65" s="54"/>
      <c r="H65" s="51"/>
      <c r="I65" s="1"/>
      <c r="J65" s="1"/>
      <c r="K65" s="1"/>
      <c r="L65" s="1"/>
      <c r="AA65" s="2">
        <f>364/2000</f>
        <v>0.182</v>
      </c>
    </row>
    <row r="66" spans="1:27" ht="15.45" x14ac:dyDescent="0.4">
      <c r="A66" s="29"/>
      <c r="B66" s="25"/>
      <c r="C66" s="25"/>
      <c r="D66" s="58" t="s">
        <v>59</v>
      </c>
      <c r="E66" s="108"/>
      <c r="F66" s="45"/>
      <c r="G66" s="54"/>
      <c r="H66" s="51"/>
      <c r="I66" s="1"/>
      <c r="J66" s="1"/>
      <c r="K66" s="1"/>
      <c r="L66" s="1"/>
      <c r="AA66" s="2">
        <f>F55*E55</f>
        <v>0</v>
      </c>
    </row>
    <row r="67" spans="1:27" ht="15.45" x14ac:dyDescent="0.4">
      <c r="A67" s="29"/>
      <c r="B67" s="25"/>
      <c r="C67" s="25"/>
      <c r="D67" s="58" t="s">
        <v>60</v>
      </c>
      <c r="E67" s="108"/>
      <c r="F67" s="45"/>
      <c r="G67" s="58" t="s">
        <v>17</v>
      </c>
      <c r="H67" s="59" t="s">
        <v>18</v>
      </c>
      <c r="I67" s="1"/>
      <c r="J67" s="1"/>
      <c r="K67" s="1"/>
      <c r="L67" s="1"/>
      <c r="AA67" s="2">
        <f>G55*D4</f>
        <v>0</v>
      </c>
    </row>
    <row r="68" spans="1:27" ht="15.45" x14ac:dyDescent="0.4">
      <c r="A68" s="41" t="s">
        <v>61</v>
      </c>
      <c r="B68" s="25"/>
      <c r="C68" s="25"/>
      <c r="D68" s="30">
        <v>697</v>
      </c>
      <c r="E68" s="109"/>
      <c r="F68" s="62"/>
      <c r="G68" s="44">
        <f ca="1">AA87</f>
        <v>697</v>
      </c>
      <c r="H68" s="61">
        <f ca="1">AA88</f>
        <v>697</v>
      </c>
      <c r="I68" s="1"/>
      <c r="J68" s="1"/>
      <c r="K68" s="1"/>
      <c r="L68" s="1"/>
      <c r="AA68" s="2">
        <f>F56*E56</f>
        <v>50</v>
      </c>
    </row>
    <row r="69" spans="1:27" ht="15.45" x14ac:dyDescent="0.4">
      <c r="A69" s="41" t="s">
        <v>62</v>
      </c>
      <c r="B69" s="25"/>
      <c r="C69" s="25"/>
      <c r="D69" s="30">
        <v>272</v>
      </c>
      <c r="E69" s="109"/>
      <c r="F69" s="62"/>
      <c r="G69" s="44">
        <f ca="1">AA90</f>
        <v>272</v>
      </c>
      <c r="H69" s="61">
        <f ca="1">AA91</f>
        <v>272</v>
      </c>
      <c r="I69" s="1"/>
      <c r="J69" s="1"/>
      <c r="K69" s="1"/>
      <c r="L69" s="1"/>
      <c r="AA69" s="2">
        <f>G56*D4</f>
        <v>50</v>
      </c>
    </row>
    <row r="70" spans="1:27" ht="15.45" x14ac:dyDescent="0.4">
      <c r="A70" s="41" t="s">
        <v>63</v>
      </c>
      <c r="B70" s="25"/>
      <c r="C70" s="25"/>
      <c r="D70" s="30">
        <v>0</v>
      </c>
      <c r="E70" s="109"/>
      <c r="F70" s="62"/>
      <c r="G70" s="44">
        <f ca="1">AA93</f>
        <v>0</v>
      </c>
      <c r="H70" s="61">
        <f ca="1">AA94</f>
        <v>0</v>
      </c>
      <c r="I70" s="1"/>
      <c r="J70" s="1"/>
      <c r="K70" s="7" t="s">
        <v>64</v>
      </c>
      <c r="L70" s="1"/>
      <c r="AA70" s="2">
        <f>IF(UPPER(LEFT(D19,1))="Y",1,0)</f>
        <v>1</v>
      </c>
    </row>
    <row r="71" spans="1:27" ht="15.45" x14ac:dyDescent="0.4">
      <c r="A71" s="41" t="s">
        <v>134</v>
      </c>
      <c r="B71" s="25"/>
      <c r="C71" s="25"/>
      <c r="D71" s="30">
        <v>0</v>
      </c>
      <c r="E71" s="109"/>
      <c r="F71" s="62"/>
      <c r="G71" s="44">
        <f ca="1">AA96</f>
        <v>0</v>
      </c>
      <c r="H71" s="61">
        <f ca="1">AA97</f>
        <v>0</v>
      </c>
      <c r="I71" s="1"/>
      <c r="J71" s="1"/>
      <c r="K71" s="7" t="s">
        <v>65</v>
      </c>
      <c r="L71" s="1"/>
      <c r="AA71" s="9">
        <f>D13</f>
        <v>1240</v>
      </c>
    </row>
    <row r="72" spans="1:27" ht="15.45" x14ac:dyDescent="0.4">
      <c r="A72" s="41" t="s">
        <v>66</v>
      </c>
      <c r="B72" s="25"/>
      <c r="C72" s="25"/>
      <c r="D72" s="30">
        <v>0</v>
      </c>
      <c r="E72" s="109"/>
      <c r="F72" s="62"/>
      <c r="G72" s="44">
        <f ca="1">AA99</f>
        <v>0</v>
      </c>
      <c r="H72" s="61">
        <f ca="1">AA100</f>
        <v>0</v>
      </c>
      <c r="I72" s="1"/>
      <c r="J72" s="1"/>
      <c r="K72" s="7" t="s">
        <v>67</v>
      </c>
      <c r="L72" s="1"/>
      <c r="AA72" s="2">
        <f>F57*E57</f>
        <v>1240</v>
      </c>
    </row>
    <row r="73" spans="1:27" ht="15.45" x14ac:dyDescent="0.4">
      <c r="A73" s="41"/>
      <c r="B73" s="25"/>
      <c r="C73" s="25"/>
      <c r="D73" s="25"/>
      <c r="E73" s="72"/>
      <c r="F73" s="62"/>
      <c r="G73" s="25"/>
      <c r="H73" s="33"/>
      <c r="I73" s="1"/>
      <c r="J73" s="1"/>
      <c r="K73" s="7" t="s">
        <v>68</v>
      </c>
      <c r="L73" s="1"/>
      <c r="AA73" s="2">
        <f>G57*D4</f>
        <v>1240</v>
      </c>
    </row>
    <row r="74" spans="1:27" ht="15.45" x14ac:dyDescent="0.4">
      <c r="A74" s="41" t="s">
        <v>69</v>
      </c>
      <c r="B74" s="25"/>
      <c r="C74" s="58" t="s">
        <v>70</v>
      </c>
      <c r="D74" s="58" t="s">
        <v>71</v>
      </c>
      <c r="E74" s="72"/>
      <c r="F74" s="45"/>
      <c r="G74" s="54"/>
      <c r="H74" s="51"/>
      <c r="I74" s="1"/>
      <c r="J74" s="1"/>
      <c r="K74" s="7" t="s">
        <v>72</v>
      </c>
      <c r="L74" s="1"/>
      <c r="AA74" s="2">
        <f>F58*E58</f>
        <v>0</v>
      </c>
    </row>
    <row r="75" spans="1:27" ht="15.45" x14ac:dyDescent="0.4">
      <c r="A75" s="41" t="s">
        <v>73</v>
      </c>
      <c r="B75" s="25"/>
      <c r="C75" s="30">
        <v>7.7</v>
      </c>
      <c r="D75" s="30">
        <v>100</v>
      </c>
      <c r="E75" s="109"/>
      <c r="F75" s="25"/>
      <c r="G75" s="44">
        <f ca="1">AA102</f>
        <v>837</v>
      </c>
      <c r="H75" s="61">
        <f ca="1">AA103</f>
        <v>837</v>
      </c>
      <c r="I75" s="1"/>
      <c r="J75" s="1"/>
      <c r="K75" s="1"/>
      <c r="L75" s="1"/>
      <c r="AA75" s="2">
        <f>G58*D4</f>
        <v>0</v>
      </c>
    </row>
    <row r="76" spans="1:27" ht="15.45" x14ac:dyDescent="0.4">
      <c r="A76" s="29"/>
      <c r="B76" s="25"/>
      <c r="C76" s="25"/>
      <c r="D76" s="25"/>
      <c r="E76" s="73"/>
      <c r="F76" s="25"/>
      <c r="G76" s="58" t="s">
        <v>21</v>
      </c>
      <c r="H76" s="59" t="s">
        <v>74</v>
      </c>
      <c r="I76" s="1"/>
      <c r="J76" s="1"/>
      <c r="K76" s="1"/>
      <c r="L76" s="1"/>
      <c r="AA76" s="2">
        <f>F59*E59</f>
        <v>345</v>
      </c>
    </row>
    <row r="77" spans="1:27" ht="15.45" x14ac:dyDescent="0.4">
      <c r="A77" s="41" t="s">
        <v>75</v>
      </c>
      <c r="B77" s="25"/>
      <c r="C77" s="25"/>
      <c r="D77" s="25"/>
      <c r="E77" s="72"/>
      <c r="F77" s="45"/>
      <c r="G77" s="44">
        <f ca="1">AA104</f>
        <v>11761.740000000002</v>
      </c>
      <c r="H77" s="61">
        <f ca="1">AA105</f>
        <v>11761.740000000002</v>
      </c>
      <c r="I77" s="1"/>
      <c r="J77" s="6">
        <f ca="1">AA106</f>
        <v>837</v>
      </c>
      <c r="K77" s="7" t="s">
        <v>76</v>
      </c>
      <c r="L77" s="1"/>
      <c r="AA77" s="2">
        <f>G59*D4</f>
        <v>345</v>
      </c>
    </row>
    <row r="78" spans="1:27" ht="15.45" x14ac:dyDescent="0.4">
      <c r="A78" s="29"/>
      <c r="B78" s="25"/>
      <c r="C78" s="25"/>
      <c r="D78" s="25"/>
      <c r="E78" s="72"/>
      <c r="F78" s="25"/>
      <c r="G78" s="54"/>
      <c r="H78" s="51"/>
      <c r="I78" s="1"/>
      <c r="J78" s="1"/>
      <c r="K78" s="1"/>
      <c r="L78" s="1"/>
      <c r="AA78" s="2">
        <f>F60*E60</f>
        <v>105</v>
      </c>
    </row>
    <row r="79" spans="1:27" ht="15.45" x14ac:dyDescent="0.4">
      <c r="A79" s="41"/>
      <c r="B79" s="25"/>
      <c r="C79" s="25"/>
      <c r="D79" s="25"/>
      <c r="E79" s="72"/>
      <c r="F79" s="25"/>
      <c r="G79" s="54"/>
      <c r="H79" s="51"/>
      <c r="I79" s="1"/>
      <c r="J79" s="1"/>
      <c r="K79" s="1"/>
      <c r="L79" s="1"/>
      <c r="AA79" s="2">
        <f>G60*D4</f>
        <v>105</v>
      </c>
    </row>
    <row r="80" spans="1:27" ht="15.45" x14ac:dyDescent="0.4">
      <c r="A80" s="29"/>
      <c r="B80" s="25"/>
      <c r="C80" s="25"/>
      <c r="D80" s="58" t="s">
        <v>59</v>
      </c>
      <c r="E80" s="108"/>
      <c r="F80" s="54"/>
      <c r="G80" s="54"/>
      <c r="H80" s="51"/>
      <c r="I80" s="1"/>
      <c r="J80" s="1"/>
      <c r="K80" s="1"/>
      <c r="L80" s="1"/>
      <c r="AA80" s="2">
        <f>F61*E61</f>
        <v>26</v>
      </c>
    </row>
    <row r="81" spans="1:27" ht="15.45" x14ac:dyDescent="0.4">
      <c r="A81" s="41" t="s">
        <v>77</v>
      </c>
      <c r="B81" s="25"/>
      <c r="C81" s="25"/>
      <c r="D81" s="58" t="s">
        <v>60</v>
      </c>
      <c r="E81" s="108"/>
      <c r="F81" s="54"/>
      <c r="G81" s="58" t="s">
        <v>17</v>
      </c>
      <c r="H81" s="59" t="s">
        <v>18</v>
      </c>
      <c r="I81" s="1"/>
      <c r="J81" s="1"/>
      <c r="K81" s="1"/>
      <c r="L81" s="1"/>
      <c r="AA81" s="2">
        <f>G61*D4</f>
        <v>26</v>
      </c>
    </row>
    <row r="82" spans="1:27" ht="15.45" x14ac:dyDescent="0.4">
      <c r="A82" s="41" t="s">
        <v>78</v>
      </c>
      <c r="B82" s="25"/>
      <c r="C82" s="25"/>
      <c r="D82" s="30">
        <v>358</v>
      </c>
      <c r="E82" s="109"/>
      <c r="F82" s="54"/>
      <c r="G82" s="44">
        <f ca="1">AA108</f>
        <v>358</v>
      </c>
      <c r="H82" s="61">
        <f ca="1">AA109</f>
        <v>358</v>
      </c>
      <c r="I82" s="8"/>
      <c r="J82" s="1"/>
      <c r="K82" s="1"/>
      <c r="L82" s="1"/>
      <c r="AA82" s="2">
        <f>F63*E63</f>
        <v>2240</v>
      </c>
    </row>
    <row r="83" spans="1:27" ht="15.45" x14ac:dyDescent="0.4">
      <c r="A83" s="41" t="s">
        <v>135</v>
      </c>
      <c r="B83" s="25"/>
      <c r="C83" s="25"/>
      <c r="D83" s="30">
        <v>165</v>
      </c>
      <c r="E83" s="109"/>
      <c r="F83" s="25"/>
      <c r="G83" s="44">
        <f ca="1">AA111</f>
        <v>165</v>
      </c>
      <c r="H83" s="61">
        <f ca="1">AA112</f>
        <v>165</v>
      </c>
      <c r="I83" s="8"/>
      <c r="J83" s="1"/>
      <c r="K83" s="1"/>
      <c r="L83" s="1"/>
      <c r="AA83" s="2">
        <f>G63*D4</f>
        <v>2240</v>
      </c>
    </row>
    <row r="84" spans="1:27" ht="15.45" x14ac:dyDescent="0.4">
      <c r="A84" s="41" t="s">
        <v>137</v>
      </c>
      <c r="B84" s="25"/>
      <c r="C84" s="25"/>
      <c r="D84" s="30">
        <v>0</v>
      </c>
      <c r="E84" s="109"/>
      <c r="F84" s="25"/>
      <c r="G84" s="44">
        <f ca="1">AA114</f>
        <v>0</v>
      </c>
      <c r="H84" s="61">
        <f ca="1">AA115</f>
        <v>0</v>
      </c>
      <c r="I84" s="8"/>
      <c r="J84" s="1"/>
      <c r="K84" s="7" t="s">
        <v>79</v>
      </c>
      <c r="L84" s="1"/>
      <c r="AA84" s="2">
        <f>F64*E64</f>
        <v>0</v>
      </c>
    </row>
    <row r="85" spans="1:27" ht="15.45" x14ac:dyDescent="0.4">
      <c r="A85" s="41" t="s">
        <v>136</v>
      </c>
      <c r="B85" s="25"/>
      <c r="C85" s="25"/>
      <c r="D85" s="30">
        <v>331</v>
      </c>
      <c r="E85" s="71"/>
      <c r="F85" s="25"/>
      <c r="G85" s="44">
        <f>AA116</f>
        <v>331</v>
      </c>
      <c r="H85" s="61">
        <f>AA117</f>
        <v>331</v>
      </c>
      <c r="I85" s="8"/>
      <c r="J85" s="1"/>
      <c r="K85" s="7" t="s">
        <v>81</v>
      </c>
      <c r="L85" s="1"/>
      <c r="AA85" s="2">
        <f>G64*D4</f>
        <v>0</v>
      </c>
    </row>
    <row r="86" spans="1:27" ht="15.45" x14ac:dyDescent="0.4">
      <c r="A86" s="41" t="s">
        <v>80</v>
      </c>
      <c r="B86" s="25"/>
      <c r="C86" s="25"/>
      <c r="D86" s="30">
        <v>1416</v>
      </c>
      <c r="E86" s="109"/>
      <c r="F86" s="25"/>
      <c r="G86" s="44">
        <f ca="1">AA119</f>
        <v>1416</v>
      </c>
      <c r="H86" s="61">
        <f ca="1">AA120</f>
        <v>1416</v>
      </c>
      <c r="I86" s="1"/>
      <c r="J86" s="1"/>
      <c r="K86" s="7" t="s">
        <v>82</v>
      </c>
      <c r="L86" s="1"/>
      <c r="AA86" s="2">
        <f ca="1">IF(K70=0,0,HLOOKUP(A2,INDIRECT(K22),2, FALSE)*INDIRECT(K70)*0.01)</f>
        <v>0</v>
      </c>
    </row>
    <row r="87" spans="1:27" ht="15.45" x14ac:dyDescent="0.4">
      <c r="A87" s="29"/>
      <c r="B87" s="25"/>
      <c r="C87" s="54"/>
      <c r="D87" s="25"/>
      <c r="E87" s="54"/>
      <c r="F87" s="54"/>
      <c r="G87" s="58" t="s">
        <v>21</v>
      </c>
      <c r="H87" s="59" t="s">
        <v>74</v>
      </c>
      <c r="I87" s="8"/>
      <c r="J87" s="8"/>
      <c r="K87" s="7" t="s">
        <v>84</v>
      </c>
      <c r="L87" s="1"/>
      <c r="AA87" s="2">
        <f ca="1">H68/D4</f>
        <v>697</v>
      </c>
    </row>
    <row r="88" spans="1:27" ht="15.45" x14ac:dyDescent="0.4">
      <c r="A88" s="41" t="s">
        <v>83</v>
      </c>
      <c r="B88" s="25"/>
      <c r="C88" s="25"/>
      <c r="D88" s="25"/>
      <c r="E88" s="54"/>
      <c r="F88" s="54"/>
      <c r="G88" s="44">
        <f ca="1">AA121</f>
        <v>2270</v>
      </c>
      <c r="H88" s="61">
        <f ca="1">AA122</f>
        <v>2270</v>
      </c>
      <c r="I88" s="8"/>
      <c r="J88" s="8"/>
      <c r="K88" s="1"/>
      <c r="L88" s="1"/>
      <c r="AA88" s="2">
        <f ca="1">IF(E68=0,D68*D4,IF(INDIRECT(K70)&gt;0,E68,D68*D4))</f>
        <v>697</v>
      </c>
    </row>
    <row r="89" spans="1:27" ht="15.45" x14ac:dyDescent="0.4">
      <c r="A89" s="29"/>
      <c r="B89" s="25"/>
      <c r="C89" s="25"/>
      <c r="D89" s="25"/>
      <c r="E89" s="54"/>
      <c r="F89" s="54"/>
      <c r="G89" s="25"/>
      <c r="H89" s="33"/>
      <c r="I89" s="8"/>
      <c r="J89" s="8"/>
      <c r="K89" s="1"/>
      <c r="L89" s="1"/>
      <c r="AA89" s="2">
        <f ca="1">IF(K71=0,0,HLOOKUP(A2,INDIRECT(K22),3, FALSE)*INDIRECT(K71)*0.01)</f>
        <v>0</v>
      </c>
    </row>
    <row r="90" spans="1:27" ht="15.45" x14ac:dyDescent="0.4">
      <c r="A90" s="36"/>
      <c r="B90" s="36"/>
      <c r="C90" s="36"/>
      <c r="D90" s="36"/>
      <c r="E90" s="36"/>
      <c r="F90" s="36"/>
      <c r="G90" s="36"/>
      <c r="H90" s="36"/>
      <c r="I90" s="8"/>
      <c r="J90" s="8"/>
      <c r="K90" s="1"/>
      <c r="L90" s="1"/>
      <c r="AA90" s="2">
        <f ca="1">H69/D4</f>
        <v>272</v>
      </c>
    </row>
    <row r="91" spans="1:27" ht="15.45" x14ac:dyDescent="0.4">
      <c r="A91" s="41" t="s">
        <v>85</v>
      </c>
      <c r="B91" s="25"/>
      <c r="C91" s="54"/>
      <c r="D91" s="25"/>
      <c r="E91" s="58" t="s">
        <v>17</v>
      </c>
      <c r="F91" s="58" t="s">
        <v>18</v>
      </c>
      <c r="G91" s="45"/>
      <c r="H91" s="33"/>
      <c r="I91" s="8"/>
      <c r="J91" s="1"/>
      <c r="K91" s="1"/>
      <c r="L91" s="1"/>
      <c r="AA91" s="2">
        <f ca="1">IF(E69=0,D69*D4,IF(INDIRECT(K71)&gt;0,E69,D69*D4))</f>
        <v>272</v>
      </c>
    </row>
    <row r="92" spans="1:27" ht="15.45" x14ac:dyDescent="0.4">
      <c r="A92" s="41" t="s">
        <v>86</v>
      </c>
      <c r="B92" s="25"/>
      <c r="C92" s="54"/>
      <c r="D92" s="25"/>
      <c r="E92" s="44">
        <f>AA123</f>
        <v>23079</v>
      </c>
      <c r="F92" s="44">
        <f>AA124</f>
        <v>23079</v>
      </c>
      <c r="G92" s="25"/>
      <c r="H92" s="51"/>
      <c r="I92" s="8"/>
      <c r="J92" s="1"/>
      <c r="K92" s="1"/>
      <c r="L92" s="1"/>
      <c r="AA92" s="2">
        <f ca="1">IF(K72=0,0,HLOOKUP(A2,INDIRECT(K22),4, FALSE)*INDIRECT(K72)*0.01)</f>
        <v>0</v>
      </c>
    </row>
    <row r="93" spans="1:27" ht="15.45" x14ac:dyDescent="0.4">
      <c r="A93" s="41"/>
      <c r="B93" s="25"/>
      <c r="C93" s="54"/>
      <c r="D93" s="25"/>
      <c r="E93" s="44"/>
      <c r="F93" s="44"/>
      <c r="G93" s="45"/>
      <c r="H93" s="51"/>
      <c r="I93" s="8"/>
      <c r="J93" s="8"/>
      <c r="K93" s="1"/>
      <c r="L93" s="1"/>
      <c r="AA93" s="2">
        <f ca="1">H70/D4</f>
        <v>0</v>
      </c>
    </row>
    <row r="94" spans="1:27" ht="15.45" x14ac:dyDescent="0.4">
      <c r="A94" s="41" t="s">
        <v>87</v>
      </c>
      <c r="B94" s="25"/>
      <c r="C94" s="25"/>
      <c r="D94" s="25"/>
      <c r="E94" s="44">
        <f ca="1">AA127</f>
        <v>11761.740000000002</v>
      </c>
      <c r="F94" s="44">
        <f ca="1">AA128</f>
        <v>11761.740000000002</v>
      </c>
      <c r="G94" s="54"/>
      <c r="H94" s="51"/>
      <c r="I94" s="8"/>
      <c r="J94" s="8"/>
      <c r="K94" s="1"/>
      <c r="L94" s="1"/>
      <c r="AA94" s="2">
        <f ca="1">IF(E70=0,D70*D4,IF(INDIRECT(K72)&gt;0,E70,D70*D4))</f>
        <v>0</v>
      </c>
    </row>
    <row r="95" spans="1:27" ht="15.45" x14ac:dyDescent="0.4">
      <c r="A95" s="29"/>
      <c r="B95" s="25"/>
      <c r="C95" s="25"/>
      <c r="D95" s="25"/>
      <c r="E95" s="58" t="s">
        <v>21</v>
      </c>
      <c r="F95" s="58" t="s">
        <v>88</v>
      </c>
      <c r="G95" s="25"/>
      <c r="H95" s="33"/>
      <c r="I95" s="8"/>
      <c r="J95" s="8"/>
      <c r="K95" s="1"/>
      <c r="L95" s="1"/>
      <c r="AA95" s="2">
        <f ca="1">IF(K73=0,0,HLOOKUP(A2,INDIRECT(K22),5, FALSE)*INDIRECT(K73)*0.01)</f>
        <v>0</v>
      </c>
    </row>
    <row r="96" spans="1:27" ht="15.45" x14ac:dyDescent="0.4">
      <c r="A96" s="41" t="s">
        <v>89</v>
      </c>
      <c r="B96" s="25"/>
      <c r="C96" s="25"/>
      <c r="D96" s="25"/>
      <c r="E96" s="44">
        <f ca="1">AA129</f>
        <v>11317.259999999998</v>
      </c>
      <c r="F96" s="44">
        <f ca="1">AA130</f>
        <v>11317.259999999998</v>
      </c>
      <c r="G96" s="45"/>
      <c r="H96" s="51"/>
      <c r="I96" s="8"/>
      <c r="J96" s="8"/>
      <c r="K96" s="1"/>
      <c r="L96" s="1"/>
      <c r="AA96" s="2">
        <f ca="1">H71/D4</f>
        <v>0</v>
      </c>
    </row>
    <row r="97" spans="1:27" ht="15.45" x14ac:dyDescent="0.4">
      <c r="A97" s="41" t="s">
        <v>90</v>
      </c>
      <c r="B97" s="25"/>
      <c r="C97" s="54"/>
      <c r="D97" s="25"/>
      <c r="E97" s="44">
        <f ca="1">AA131</f>
        <v>2270</v>
      </c>
      <c r="F97" s="44">
        <f ca="1">AA132</f>
        <v>2270</v>
      </c>
      <c r="G97" s="45"/>
      <c r="H97" s="51"/>
      <c r="I97" s="8"/>
      <c r="J97" s="8"/>
      <c r="K97" s="1"/>
      <c r="L97" s="1"/>
      <c r="AA97" s="2">
        <f ca="1">IF(E71=0,D71*D4,IF(INDIRECT(K73)&gt;0,E71,D71*D4))</f>
        <v>0</v>
      </c>
    </row>
    <row r="98" spans="1:27" ht="15.45" x14ac:dyDescent="0.4">
      <c r="A98" s="29"/>
      <c r="B98" s="25"/>
      <c r="C98" s="54"/>
      <c r="D98" s="25"/>
      <c r="E98" s="58" t="s">
        <v>21</v>
      </c>
      <c r="F98" s="58" t="s">
        <v>88</v>
      </c>
      <c r="G98" s="25"/>
      <c r="H98" s="74"/>
      <c r="I98" s="8"/>
      <c r="J98" s="8"/>
      <c r="K98" s="1"/>
      <c r="L98" s="1"/>
      <c r="AA98" s="2">
        <f ca="1">IF(K74=0,0,HLOOKUP(A2,INDIRECT(K22),6, FALSE)*INDIRECT(K74)*0.01)</f>
        <v>0</v>
      </c>
    </row>
    <row r="99" spans="1:27" ht="15.45" x14ac:dyDescent="0.4">
      <c r="A99" s="41" t="s">
        <v>91</v>
      </c>
      <c r="B99" s="25"/>
      <c r="C99" s="25"/>
      <c r="D99" s="25"/>
      <c r="E99" s="44">
        <f ca="1">AA133</f>
        <v>9047.2599999999984</v>
      </c>
      <c r="F99" s="44">
        <f ca="1">AA134</f>
        <v>9047.2599999999984</v>
      </c>
      <c r="G99" s="45"/>
      <c r="H99" s="74"/>
      <c r="I99" s="8"/>
      <c r="J99" s="8"/>
      <c r="K99" s="1"/>
      <c r="L99" s="1"/>
      <c r="AA99" s="2">
        <f ca="1">H72/D4</f>
        <v>0</v>
      </c>
    </row>
    <row r="100" spans="1:27" ht="15.45" x14ac:dyDescent="0.4">
      <c r="A100" s="29"/>
      <c r="B100" s="25"/>
      <c r="C100" s="25"/>
      <c r="D100" s="25"/>
      <c r="E100" s="25"/>
      <c r="F100" s="25"/>
      <c r="G100" s="25"/>
      <c r="H100" s="33"/>
      <c r="I100" s="8"/>
      <c r="J100" s="1"/>
      <c r="K100" s="1"/>
      <c r="L100" s="1"/>
      <c r="AA100" s="2">
        <f ca="1">IF(E72=0,D72*D4,IF(INDIRECT(K74)&gt;0,E72,D72*D4))</f>
        <v>0</v>
      </c>
    </row>
    <row r="101" spans="1:27" ht="15.45" x14ac:dyDescent="0.4">
      <c r="A101" s="29"/>
      <c r="B101" s="25"/>
      <c r="C101" s="25"/>
      <c r="D101" s="25"/>
      <c r="E101" s="25"/>
      <c r="F101" s="25"/>
      <c r="G101" s="25"/>
      <c r="H101" s="33"/>
      <c r="I101" s="8"/>
      <c r="J101" s="1"/>
      <c r="K101" s="1"/>
      <c r="L101" s="1"/>
      <c r="AA101" s="2">
        <f ca="1">IF(K77=0,0,HLOOKUP(A2,INDIRECT(K22),7, FALSE)*INDIRECT(K77)*0.01)</f>
        <v>0</v>
      </c>
    </row>
    <row r="102" spans="1:27" ht="15.45" x14ac:dyDescent="0.4">
      <c r="A102" s="29"/>
      <c r="B102" s="25"/>
      <c r="C102" s="25"/>
      <c r="D102" s="25"/>
      <c r="E102" s="25"/>
      <c r="F102" s="25"/>
      <c r="G102" s="25"/>
      <c r="H102" s="33"/>
      <c r="I102" s="8"/>
      <c r="J102" s="8"/>
      <c r="K102" s="1"/>
      <c r="L102" s="1"/>
      <c r="AA102" s="2">
        <f ca="1">H75/D4</f>
        <v>837</v>
      </c>
    </row>
    <row r="103" spans="1:27" ht="15.45" x14ac:dyDescent="0.4">
      <c r="A103" s="41" t="s">
        <v>92</v>
      </c>
      <c r="B103" s="25"/>
      <c r="C103" s="25"/>
      <c r="D103" s="25"/>
      <c r="E103" s="27" t="s">
        <v>93</v>
      </c>
      <c r="F103" s="25"/>
      <c r="G103" s="50">
        <f ca="1">AA135</f>
        <v>1680.2485714285717</v>
      </c>
      <c r="H103" s="74"/>
      <c r="I103" s="8"/>
      <c r="J103" s="8"/>
      <c r="K103" s="1"/>
      <c r="L103" s="1"/>
      <c r="AA103" s="2">
        <f ca="1">IF(E75=0,J77,IF(INDIRECT(K77)&gt;0,E75,J77))</f>
        <v>837</v>
      </c>
    </row>
    <row r="104" spans="1:27" ht="15.45" x14ac:dyDescent="0.4">
      <c r="A104" s="29"/>
      <c r="B104" s="25"/>
      <c r="C104" s="25"/>
      <c r="D104" s="25"/>
      <c r="E104" s="27" t="s">
        <v>94</v>
      </c>
      <c r="F104" s="45"/>
      <c r="G104" s="50">
        <f ca="1">AA136</f>
        <v>324.28571428571428</v>
      </c>
      <c r="H104" s="74"/>
      <c r="I104" s="8"/>
      <c r="J104" s="8"/>
      <c r="K104" s="1"/>
      <c r="L104" s="1"/>
      <c r="AA104" s="2">
        <f ca="1">H77/D4</f>
        <v>11761.740000000002</v>
      </c>
    </row>
    <row r="105" spans="1:27" ht="15.45" x14ac:dyDescent="0.4">
      <c r="A105" s="29"/>
      <c r="B105" s="25"/>
      <c r="C105" s="25"/>
      <c r="D105" s="25"/>
      <c r="E105" s="25"/>
      <c r="F105" s="45"/>
      <c r="G105" s="58" t="s">
        <v>95</v>
      </c>
      <c r="H105" s="74"/>
      <c r="I105" s="8"/>
      <c r="J105" s="8"/>
      <c r="K105" s="1"/>
      <c r="L105" s="1"/>
      <c r="AA105" s="3">
        <f ca="1">SUM(H24:H75)</f>
        <v>11761.740000000002</v>
      </c>
    </row>
    <row r="106" spans="1:27" ht="15.45" x14ac:dyDescent="0.4">
      <c r="A106" s="29"/>
      <c r="B106" s="25"/>
      <c r="C106" s="25"/>
      <c r="D106" s="25"/>
      <c r="E106" s="27" t="s">
        <v>96</v>
      </c>
      <c r="F106" s="25"/>
      <c r="G106" s="50">
        <f ca="1">AA137</f>
        <v>2004.5342857142859</v>
      </c>
      <c r="H106" s="74"/>
      <c r="I106" s="8"/>
      <c r="J106" s="1"/>
      <c r="K106" s="1"/>
      <c r="L106" s="1"/>
      <c r="AA106" s="2">
        <f ca="1">ROUND(SUM(H24:H55,H57:H72)*C75*D75*0.0001,0)</f>
        <v>837</v>
      </c>
    </row>
    <row r="107" spans="1:27" ht="15.45" x14ac:dyDescent="0.4">
      <c r="A107" s="36"/>
      <c r="B107" s="36"/>
      <c r="C107" s="36"/>
      <c r="D107" s="36"/>
      <c r="E107" s="36"/>
      <c r="F107" s="36"/>
      <c r="G107" s="36"/>
      <c r="H107" s="36"/>
      <c r="I107" s="8"/>
      <c r="J107" s="1"/>
      <c r="K107" s="1"/>
      <c r="L107" s="1"/>
      <c r="AA107" s="2">
        <f ca="1">IF(K84=0,0,HLOOKUP(A2,INDIRECT(K22),9, FALSE)*INDIRECT(K84)*0.01)</f>
        <v>0</v>
      </c>
    </row>
    <row r="108" spans="1:27" ht="15.45" x14ac:dyDescent="0.4">
      <c r="A108" s="29"/>
      <c r="B108" s="25"/>
      <c r="C108" s="54"/>
      <c r="D108" s="25"/>
      <c r="E108" s="25"/>
      <c r="F108" s="45"/>
      <c r="G108" s="75"/>
      <c r="H108" s="74"/>
      <c r="I108" s="8"/>
      <c r="J108" s="1"/>
      <c r="K108" s="1"/>
      <c r="L108" s="1"/>
      <c r="AA108" s="2">
        <f ca="1">H82/D4</f>
        <v>358</v>
      </c>
    </row>
    <row r="109" spans="1:27" ht="15.45" x14ac:dyDescent="0.4">
      <c r="A109" s="29"/>
      <c r="B109" s="27" t="s">
        <v>97</v>
      </c>
      <c r="C109" s="54"/>
      <c r="D109" s="25"/>
      <c r="E109" s="25"/>
      <c r="F109" s="45"/>
      <c r="G109" s="76">
        <f ca="1">AA138</f>
        <v>0.81969876107089246</v>
      </c>
      <c r="H109" s="74"/>
      <c r="I109" s="8"/>
      <c r="J109" s="8"/>
      <c r="K109" s="1"/>
      <c r="L109" s="1"/>
      <c r="AA109" s="2">
        <f ca="1">IF(E82=0,D82*D4,IF(INDIRECT(K84)&gt;0,E82,D82*D4))</f>
        <v>358</v>
      </c>
    </row>
    <row r="110" spans="1:27" ht="15.45" x14ac:dyDescent="0.4">
      <c r="A110" s="29"/>
      <c r="B110" s="27" t="s">
        <v>98</v>
      </c>
      <c r="C110" s="54"/>
      <c r="D110" s="30">
        <v>0</v>
      </c>
      <c r="E110" s="27" t="s">
        <v>99</v>
      </c>
      <c r="F110" s="25"/>
      <c r="G110" s="76">
        <f ca="1">AA139</f>
        <v>0.81969876107089246</v>
      </c>
      <c r="H110" s="74"/>
      <c r="I110" s="8"/>
      <c r="J110" s="8"/>
      <c r="K110" s="1"/>
      <c r="L110" s="1"/>
      <c r="AA110" s="2">
        <f ca="1">IF(K85=0,0,HLOOKUP(A2,INDIRECT(K22),10, FALSE)*INDIRECT(K85)*0.01)</f>
        <v>0</v>
      </c>
    </row>
    <row r="111" spans="1:27" ht="15.45" x14ac:dyDescent="0.4">
      <c r="A111" s="29"/>
      <c r="B111" s="27"/>
      <c r="C111" s="54"/>
      <c r="D111" s="77"/>
      <c r="E111" s="27"/>
      <c r="F111" s="25"/>
      <c r="G111" s="76"/>
      <c r="H111" s="74"/>
      <c r="I111" s="8"/>
      <c r="J111" s="8"/>
      <c r="K111" s="1"/>
      <c r="L111" s="1"/>
      <c r="AA111" s="2">
        <f ca="1">H83/D4</f>
        <v>165</v>
      </c>
    </row>
    <row r="112" spans="1:27" ht="15.45" x14ac:dyDescent="0.4">
      <c r="A112" s="29"/>
      <c r="B112" s="78"/>
      <c r="C112" s="79" t="s">
        <v>138</v>
      </c>
      <c r="D112" s="80" t="s">
        <v>139</v>
      </c>
      <c r="E112" s="25"/>
      <c r="F112" s="25"/>
      <c r="G112" s="50">
        <f>AA140</f>
        <v>0.42879579812544033</v>
      </c>
      <c r="H112" s="81" t="str">
        <f>IF(G112&lt;=0.2499,"Low Risk",IF(AND(G112&gt;0.2499,G112&lt;0.4),"Moderate Risk","High Risk"))</f>
        <v>High Risk</v>
      </c>
      <c r="I112" s="8"/>
      <c r="J112" s="8"/>
      <c r="K112" s="1"/>
      <c r="L112" s="1"/>
      <c r="AA112" s="2">
        <f ca="1">IF(E83=0,D83*D4,IF(INDIRECT(K85)&gt;0,E83,D83*D4))</f>
        <v>165</v>
      </c>
    </row>
    <row r="113" spans="1:27" ht="15.45" x14ac:dyDescent="0.4">
      <c r="A113" s="29"/>
      <c r="B113" s="25"/>
      <c r="C113" s="54"/>
      <c r="D113" s="25"/>
      <c r="E113" s="25"/>
      <c r="F113" s="45"/>
      <c r="G113" s="54"/>
      <c r="H113" s="82" t="s">
        <v>100</v>
      </c>
      <c r="I113" s="10">
        <f ca="1">AA141</f>
        <v>9047.2599999999984</v>
      </c>
      <c r="J113" s="8"/>
      <c r="K113" s="1"/>
      <c r="L113" s="1"/>
      <c r="AA113" s="2">
        <f ca="1">IF(K86=0,0,HLOOKUP(A2,INDIRECT(K22),11, FALSE)*INDIRECT(K86)*0.01)</f>
        <v>0</v>
      </c>
    </row>
    <row r="114" spans="1:27" ht="15.45" x14ac:dyDescent="0.4">
      <c r="A114" s="29"/>
      <c r="B114" s="25"/>
      <c r="C114" s="58" t="s">
        <v>101</v>
      </c>
      <c r="D114" s="83"/>
      <c r="E114" s="58" t="s">
        <v>102</v>
      </c>
      <c r="F114" s="83"/>
      <c r="G114" s="25"/>
      <c r="H114" s="82" t="s">
        <v>103</v>
      </c>
      <c r="I114" s="10">
        <f>AA142</f>
        <v>2.5257429999999998</v>
      </c>
      <c r="J114" s="1"/>
      <c r="K114" s="1"/>
      <c r="L114" s="1"/>
      <c r="AA114" s="2">
        <f ca="1">H84/D4</f>
        <v>0</v>
      </c>
    </row>
    <row r="115" spans="1:27" ht="15.45" x14ac:dyDescent="0.4">
      <c r="A115" s="29"/>
      <c r="B115" s="25"/>
      <c r="C115" s="83"/>
      <c r="D115" s="83"/>
      <c r="E115" s="58" t="s">
        <v>104</v>
      </c>
      <c r="F115" s="83"/>
      <c r="G115" s="25"/>
      <c r="H115" s="82" t="s">
        <v>105</v>
      </c>
      <c r="I115" s="10">
        <f>AA144</f>
        <v>718.5</v>
      </c>
      <c r="J115" s="1"/>
      <c r="K115" s="1"/>
      <c r="L115" s="1"/>
      <c r="AA115" s="2">
        <f ca="1">IF(E84=0,D84*D4,IF(INDIRECT(K86)&gt;0,E84,D84*D4))</f>
        <v>0</v>
      </c>
    </row>
    <row r="116" spans="1:27" ht="15.45" x14ac:dyDescent="0.4">
      <c r="A116" s="29"/>
      <c r="B116" s="25"/>
      <c r="C116" s="83"/>
      <c r="D116" s="83"/>
      <c r="E116" s="83"/>
      <c r="F116" s="83"/>
      <c r="G116" s="25"/>
      <c r="H116" s="82" t="s">
        <v>106</v>
      </c>
      <c r="I116" s="10">
        <f>AA146</f>
        <v>9896.1782249370372</v>
      </c>
      <c r="J116" s="8"/>
      <c r="K116" s="1"/>
      <c r="L116" s="1"/>
      <c r="AA116" s="2">
        <f>D85</f>
        <v>331</v>
      </c>
    </row>
    <row r="117" spans="1:27" ht="15.45" x14ac:dyDescent="0.4">
      <c r="A117" s="29"/>
      <c r="B117" s="25"/>
      <c r="C117" s="44">
        <f ca="1">AA143</f>
        <v>18646.552878188922</v>
      </c>
      <c r="D117" s="83"/>
      <c r="E117" s="58" t="s">
        <v>107</v>
      </c>
      <c r="F117" s="50"/>
      <c r="G117" s="25"/>
      <c r="H117" s="74"/>
      <c r="I117" s="8"/>
      <c r="J117" s="8"/>
      <c r="K117" s="1"/>
      <c r="L117" s="1"/>
      <c r="AA117" s="2">
        <f>G85*D4</f>
        <v>331</v>
      </c>
    </row>
    <row r="118" spans="1:27" ht="15.45" x14ac:dyDescent="0.4">
      <c r="A118" s="29"/>
      <c r="B118" s="25"/>
      <c r="C118" s="44">
        <f ca="1">AA145</f>
        <v>13302.616636722923</v>
      </c>
      <c r="D118" s="83"/>
      <c r="E118" s="58" t="s">
        <v>108</v>
      </c>
      <c r="F118" s="44"/>
      <c r="G118" s="54"/>
      <c r="H118" s="82" t="s">
        <v>109</v>
      </c>
      <c r="I118" s="10">
        <f ca="1">AA149</f>
        <v>0.91421756908157947</v>
      </c>
      <c r="J118" s="10">
        <f ca="1">AA150</f>
        <v>0.91421756908157947</v>
      </c>
      <c r="K118" s="1"/>
      <c r="L118" s="1"/>
      <c r="AA118" s="2">
        <f ca="1">IF(K87=0,0,HLOOKUP(A2,INDIRECT(K22),12, FALSE)*INDIRECT(K87)*0.01)</f>
        <v>0</v>
      </c>
    </row>
    <row r="119" spans="1:27" ht="15.45" x14ac:dyDescent="0.4">
      <c r="A119" s="29"/>
      <c r="B119" s="25"/>
      <c r="C119" s="44">
        <f ca="1">AA147</f>
        <v>9047.2599999999984</v>
      </c>
      <c r="D119" s="83"/>
      <c r="E119" s="58" t="s">
        <v>110</v>
      </c>
      <c r="F119" s="50"/>
      <c r="G119" s="54"/>
      <c r="H119" s="82" t="s">
        <v>111</v>
      </c>
      <c r="I119" s="10">
        <f ca="1">AA152</f>
        <v>0.82523836751101187</v>
      </c>
      <c r="J119" s="10">
        <f ca="1">AA153</f>
        <v>0.82523836751101187</v>
      </c>
      <c r="K119" s="1"/>
      <c r="L119" s="1"/>
      <c r="AA119" s="2">
        <f ca="1">H86/D4</f>
        <v>1416</v>
      </c>
    </row>
    <row r="120" spans="1:27" ht="15.45" x14ac:dyDescent="0.4">
      <c r="A120" s="29"/>
      <c r="B120" s="25"/>
      <c r="C120" s="44">
        <f ca="1">AA148</f>
        <v>4791.9033632770725</v>
      </c>
      <c r="D120" s="83"/>
      <c r="E120" s="58" t="s">
        <v>112</v>
      </c>
      <c r="F120" s="50"/>
      <c r="G120" s="54"/>
      <c r="H120" s="82" t="s">
        <v>113</v>
      </c>
      <c r="I120" s="10">
        <f ca="1">AA154</f>
        <v>0.26267561436977738</v>
      </c>
      <c r="J120" s="10">
        <f ca="1">AA155</f>
        <v>0.26267561436977738</v>
      </c>
      <c r="K120" s="1"/>
      <c r="L120" s="1"/>
      <c r="AA120" s="2">
        <f ca="1">IF(E86=0,D86*D4,IF(INDIRECT(K87)&gt;0,E86,D86*D4))</f>
        <v>1416</v>
      </c>
    </row>
    <row r="121" spans="1:27" ht="15.45" x14ac:dyDescent="0.4">
      <c r="A121" s="29"/>
      <c r="B121" s="25"/>
      <c r="C121" s="44">
        <f ca="1">AA151</f>
        <v>-552.0328781889275</v>
      </c>
      <c r="D121" s="83"/>
      <c r="E121" s="58" t="s">
        <v>114</v>
      </c>
      <c r="F121" s="83"/>
      <c r="G121" s="25"/>
      <c r="H121" s="82" t="s">
        <v>115</v>
      </c>
      <c r="I121" s="10">
        <f ca="1">AA156</f>
        <v>0.18030123892910752</v>
      </c>
      <c r="J121" s="10">
        <f ca="1">AA157</f>
        <v>0.18030123892910752</v>
      </c>
      <c r="K121" s="8"/>
      <c r="L121" s="1"/>
      <c r="AA121" s="2">
        <f ca="1">H88/D4</f>
        <v>2270</v>
      </c>
    </row>
    <row r="122" spans="1:27" ht="15.45" x14ac:dyDescent="0.4">
      <c r="A122" s="29"/>
      <c r="B122" s="25"/>
      <c r="C122" s="25"/>
      <c r="D122" s="25"/>
      <c r="E122" s="25"/>
      <c r="F122" s="45"/>
      <c r="G122" s="54"/>
      <c r="H122" s="32" t="s">
        <v>116</v>
      </c>
      <c r="I122" s="8"/>
      <c r="J122" s="8"/>
      <c r="K122" s="8"/>
      <c r="L122" s="1"/>
      <c r="AA122" s="3">
        <f ca="1">SUM(H82:H86)</f>
        <v>2270</v>
      </c>
    </row>
    <row r="123" spans="1:27" ht="15.45" x14ac:dyDescent="0.4">
      <c r="A123" s="29"/>
      <c r="B123" s="27"/>
      <c r="C123" s="25"/>
      <c r="D123" s="25"/>
      <c r="E123" s="57"/>
      <c r="F123" s="25"/>
      <c r="G123" s="25"/>
      <c r="H123" s="33"/>
      <c r="I123" s="1"/>
      <c r="J123" s="1"/>
      <c r="K123" s="1"/>
      <c r="L123" s="1"/>
      <c r="AA123" s="2">
        <f>E8*E9</f>
        <v>23079</v>
      </c>
    </row>
    <row r="124" spans="1:27" ht="15.45" x14ac:dyDescent="0.4">
      <c r="A124" s="84"/>
      <c r="B124" s="85"/>
      <c r="C124" s="85"/>
      <c r="D124" s="85"/>
      <c r="E124" s="85"/>
      <c r="F124" s="85"/>
      <c r="G124" s="85"/>
      <c r="H124" s="86"/>
      <c r="I124" s="8"/>
      <c r="J124" s="1"/>
      <c r="K124" s="1"/>
      <c r="L124" s="1"/>
      <c r="AA124" s="2">
        <f>E92*D4</f>
        <v>23079</v>
      </c>
    </row>
    <row r="125" spans="1:27" ht="15.45" x14ac:dyDescent="0.4">
      <c r="A125" s="87"/>
      <c r="B125" s="88"/>
      <c r="C125" s="88"/>
      <c r="D125" s="89" t="s">
        <v>122</v>
      </c>
      <c r="E125" s="88"/>
      <c r="F125" s="88"/>
      <c r="G125" s="88"/>
      <c r="H125" s="90"/>
      <c r="I125" s="8"/>
      <c r="J125" s="1"/>
      <c r="K125" s="1"/>
      <c r="L125" s="1"/>
      <c r="AA125" s="2">
        <f>IF(E57=1,D17,0)</f>
        <v>1254.1210684333205</v>
      </c>
    </row>
    <row r="126" spans="1:27" ht="15.45" x14ac:dyDescent="0.4">
      <c r="A126" s="91"/>
      <c r="B126" s="88"/>
      <c r="C126" s="88"/>
      <c r="D126" s="88"/>
      <c r="E126" s="88"/>
      <c r="F126" s="88"/>
      <c r="G126" s="88"/>
      <c r="H126" s="90"/>
      <c r="I126" s="8"/>
      <c r="J126" s="1"/>
      <c r="K126" s="1"/>
      <c r="L126" s="1"/>
      <c r="AA126" s="2">
        <f>E93*D4</f>
        <v>0</v>
      </c>
    </row>
    <row r="127" spans="1:27" ht="15.45" x14ac:dyDescent="0.4">
      <c r="A127" s="92"/>
      <c r="B127" s="88"/>
      <c r="C127" s="88"/>
      <c r="D127" s="92" t="s">
        <v>123</v>
      </c>
      <c r="E127" s="93"/>
      <c r="F127" s="93"/>
      <c r="G127" s="88"/>
      <c r="H127" s="90"/>
      <c r="I127" s="8"/>
      <c r="J127" s="1"/>
      <c r="K127" s="1"/>
      <c r="L127" s="1"/>
      <c r="AA127" s="2">
        <f ca="1">F94/D4</f>
        <v>11761.740000000002</v>
      </c>
    </row>
    <row r="128" spans="1:27" ht="15.45" x14ac:dyDescent="0.4">
      <c r="A128" s="94"/>
      <c r="B128" s="88"/>
      <c r="C128" s="88"/>
      <c r="D128" s="92" t="s">
        <v>124</v>
      </c>
      <c r="E128" s="93"/>
      <c r="F128" s="93"/>
      <c r="G128" s="88"/>
      <c r="H128" s="90"/>
      <c r="I128" s="8"/>
      <c r="J128" s="1"/>
      <c r="K128" s="1"/>
      <c r="L128" s="1"/>
      <c r="AA128" s="3">
        <f ca="1">H77</f>
        <v>11761.740000000002</v>
      </c>
    </row>
    <row r="129" spans="1:27" ht="15.45" x14ac:dyDescent="0.4">
      <c r="A129" s="91"/>
      <c r="B129" s="88"/>
      <c r="C129" s="88"/>
      <c r="D129" s="95" t="s">
        <v>125</v>
      </c>
      <c r="E129" s="93"/>
      <c r="F129" s="93"/>
      <c r="G129" s="88"/>
      <c r="H129" s="90"/>
      <c r="I129" s="8"/>
      <c r="J129" s="8"/>
      <c r="K129" s="1"/>
      <c r="L129" s="1"/>
      <c r="AA129" s="2">
        <f ca="1">F96/D4</f>
        <v>11317.259999999998</v>
      </c>
    </row>
    <row r="130" spans="1:27" ht="15.45" x14ac:dyDescent="0.4">
      <c r="A130" s="91"/>
      <c r="B130" s="88"/>
      <c r="C130" s="88"/>
      <c r="D130" s="96" t="s">
        <v>126</v>
      </c>
      <c r="E130" s="93"/>
      <c r="F130" s="93"/>
      <c r="G130" s="88"/>
      <c r="H130" s="90"/>
      <c r="I130" s="8"/>
      <c r="J130" s="8"/>
      <c r="K130" s="8"/>
      <c r="L130" s="1"/>
      <c r="AA130" s="3">
        <f ca="1">SUM(F92:F93)-F94</f>
        <v>11317.259999999998</v>
      </c>
    </row>
    <row r="131" spans="1:27" ht="15.45" x14ac:dyDescent="0.4">
      <c r="A131" s="97"/>
      <c r="B131" s="98"/>
      <c r="C131" s="98"/>
      <c r="D131" s="103" t="s">
        <v>144</v>
      </c>
      <c r="E131" s="99"/>
      <c r="F131" s="99"/>
      <c r="G131" s="100"/>
      <c r="H131" s="101"/>
      <c r="I131" s="1"/>
      <c r="J131" s="1"/>
      <c r="K131" s="1"/>
      <c r="L131" s="1"/>
      <c r="AA131" s="2">
        <f ca="1">F97/D4</f>
        <v>2270</v>
      </c>
    </row>
    <row r="132" spans="1:27" ht="15.45" x14ac:dyDescent="0.4">
      <c r="A132" s="104" t="s">
        <v>145</v>
      </c>
      <c r="B132" s="105"/>
      <c r="C132" s="105"/>
      <c r="D132" s="106"/>
      <c r="E132" s="106"/>
      <c r="F132" s="107"/>
      <c r="G132" s="107"/>
      <c r="H132" s="105"/>
      <c r="I132" s="8"/>
      <c r="J132" s="8"/>
      <c r="K132" s="8"/>
      <c r="L132" s="1"/>
      <c r="AA132" s="3">
        <f ca="1">H88</f>
        <v>2270</v>
      </c>
    </row>
    <row r="133" spans="1:27" ht="11.6" x14ac:dyDescent="0.3">
      <c r="A133" s="13"/>
      <c r="B133" s="13"/>
      <c r="C133" s="13"/>
      <c r="D133" s="13"/>
      <c r="E133" s="14"/>
      <c r="F133" s="14"/>
      <c r="G133" s="15"/>
      <c r="H133" s="18"/>
      <c r="I133" s="8"/>
      <c r="J133" s="8"/>
      <c r="K133" s="8"/>
      <c r="L133" s="1"/>
      <c r="AA133" s="3">
        <f ca="1">E96-E97</f>
        <v>9047.2599999999984</v>
      </c>
    </row>
    <row r="134" spans="1:27" ht="11.6" x14ac:dyDescent="0.3">
      <c r="A134" s="13"/>
      <c r="B134" s="13"/>
      <c r="C134" s="13"/>
      <c r="D134" s="13"/>
      <c r="E134" s="14"/>
      <c r="F134" s="14"/>
      <c r="G134" s="13"/>
      <c r="H134" s="18"/>
      <c r="I134" s="8"/>
      <c r="J134" s="8"/>
      <c r="K134" s="8"/>
      <c r="L134" s="1"/>
      <c r="AA134" s="3">
        <f ca="1">F96-F97</f>
        <v>9047.2599999999984</v>
      </c>
    </row>
    <row r="135" spans="1:27" ht="11.6" x14ac:dyDescent="0.3">
      <c r="A135" s="13"/>
      <c r="B135" s="13"/>
      <c r="C135" s="13"/>
      <c r="D135" s="13"/>
      <c r="E135" s="13"/>
      <c r="F135" s="13"/>
      <c r="G135" s="13"/>
      <c r="H135" s="13"/>
      <c r="I135" s="8"/>
      <c r="J135" s="8"/>
      <c r="K135" s="8"/>
      <c r="L135" s="1"/>
      <c r="AA135" s="2">
        <f ca="1">E94/E8</f>
        <v>1680.2485714285717</v>
      </c>
    </row>
    <row r="136" spans="1:27" ht="11.6" x14ac:dyDescent="0.3">
      <c r="A136" s="13"/>
      <c r="B136" s="13"/>
      <c r="C136" s="13"/>
      <c r="D136" s="13"/>
      <c r="E136" s="14"/>
      <c r="F136" s="14"/>
      <c r="G136" s="14"/>
      <c r="H136" s="14"/>
      <c r="I136" s="8"/>
      <c r="J136" s="8"/>
      <c r="K136" s="8"/>
      <c r="L136" s="1"/>
      <c r="AA136" s="2">
        <f ca="1">E97/E8</f>
        <v>324.28571428571428</v>
      </c>
    </row>
    <row r="137" spans="1:27" ht="11.6" x14ac:dyDescent="0.3">
      <c r="A137" s="13"/>
      <c r="B137" s="13"/>
      <c r="C137" s="13"/>
      <c r="D137" s="13"/>
      <c r="E137" s="14"/>
      <c r="F137" s="14"/>
      <c r="G137" s="14"/>
      <c r="H137" s="14"/>
      <c r="I137" s="1"/>
      <c r="J137" s="1"/>
      <c r="K137" s="1"/>
      <c r="L137" s="1"/>
      <c r="AA137" s="9">
        <f ca="1">G103+G104</f>
        <v>2004.5342857142859</v>
      </c>
    </row>
    <row r="138" spans="1:27" ht="11.6" x14ac:dyDescent="0.3">
      <c r="A138" s="13"/>
      <c r="B138" s="13"/>
      <c r="C138" s="14"/>
      <c r="D138" s="13"/>
      <c r="E138" s="13"/>
      <c r="F138" s="13"/>
      <c r="G138" s="14"/>
      <c r="H138" s="14"/>
      <c r="I138" s="1"/>
      <c r="J138" s="1"/>
      <c r="K138" s="1"/>
      <c r="L138" s="1"/>
      <c r="AA138" s="2">
        <f ca="1">IF(I113&gt;0,1-I121,I121)</f>
        <v>0.81969876107089246</v>
      </c>
    </row>
    <row r="139" spans="1:27" ht="11.6" x14ac:dyDescent="0.3">
      <c r="A139" s="13"/>
      <c r="B139" s="13"/>
      <c r="C139" s="14"/>
      <c r="D139" s="13"/>
      <c r="E139" s="14"/>
      <c r="F139" s="14"/>
      <c r="G139" s="14"/>
      <c r="H139" s="14"/>
      <c r="I139" s="1"/>
      <c r="J139" s="1"/>
      <c r="K139" s="1"/>
      <c r="L139" s="1"/>
      <c r="AA139" s="2">
        <f ca="1">IF(I113-D110&gt;0,1-J121,J121)</f>
        <v>0.81969876107089246</v>
      </c>
    </row>
    <row r="140" spans="1:27" ht="11.6" x14ac:dyDescent="0.3">
      <c r="A140" s="13"/>
      <c r="B140" s="13"/>
      <c r="C140" s="14"/>
      <c r="D140" s="13"/>
      <c r="E140" s="13"/>
      <c r="F140" s="15"/>
      <c r="G140" s="14"/>
      <c r="H140" s="14"/>
      <c r="I140" s="19" t="s">
        <v>140</v>
      </c>
      <c r="J140" s="1"/>
      <c r="K140" s="1"/>
      <c r="L140" s="1"/>
      <c r="AA140" s="2">
        <f>I116/E92</f>
        <v>0.42879579812544033</v>
      </c>
    </row>
    <row r="141" spans="1:27" ht="11.6" x14ac:dyDescent="0.3">
      <c r="A141" s="13"/>
      <c r="B141" s="13"/>
      <c r="C141" s="14"/>
      <c r="D141" s="13"/>
      <c r="E141" s="13"/>
      <c r="F141" s="13"/>
      <c r="G141" s="15"/>
      <c r="H141" s="18"/>
      <c r="I141" s="19" t="s">
        <v>141</v>
      </c>
      <c r="J141" s="1"/>
      <c r="K141" s="1"/>
      <c r="L141" s="1"/>
      <c r="AA141" s="3">
        <f ca="1">E99</f>
        <v>9047.2599999999984</v>
      </c>
    </row>
    <row r="142" spans="1:27" ht="11.6" x14ac:dyDescent="0.3">
      <c r="A142" s="13"/>
      <c r="B142" s="13"/>
      <c r="C142" s="14"/>
      <c r="D142" s="13"/>
      <c r="E142" s="13"/>
      <c r="F142" s="15"/>
      <c r="G142" s="15"/>
      <c r="H142" s="14"/>
      <c r="I142" s="19" t="s">
        <v>142</v>
      </c>
      <c r="J142" s="1"/>
      <c r="K142" s="1"/>
      <c r="L142" s="1"/>
      <c r="AA142" s="2">
        <f>IF(E57=1,0.19465*E8+0.66805*((C8-G8)/2)-0.20342*D14,(C8-G8)/2)</f>
        <v>2.5257429999999998</v>
      </c>
    </row>
    <row r="143" spans="1:27" ht="11.6" x14ac:dyDescent="0.3">
      <c r="A143" s="13"/>
      <c r="B143" s="13"/>
      <c r="C143" s="13"/>
      <c r="D143" s="13"/>
      <c r="E143" s="15"/>
      <c r="F143" s="15"/>
      <c r="G143" s="13"/>
      <c r="H143" s="14"/>
      <c r="I143" s="1"/>
      <c r="J143" s="1"/>
      <c r="K143" s="1"/>
      <c r="L143" s="1"/>
      <c r="AA143" s="2">
        <f ca="1">I113+0.97*I116</f>
        <v>18646.552878188922</v>
      </c>
    </row>
    <row r="144" spans="1:27" ht="11.6" x14ac:dyDescent="0.3">
      <c r="A144" s="13"/>
      <c r="B144" s="13"/>
      <c r="C144" s="13"/>
      <c r="D144" s="13"/>
      <c r="E144" s="13"/>
      <c r="F144" s="15"/>
      <c r="G144" s="15"/>
      <c r="H144" s="14"/>
      <c r="I144" s="1"/>
      <c r="J144" s="1"/>
      <c r="K144" s="1"/>
      <c r="L144" s="1"/>
      <c r="AA144" s="2">
        <f>(C9-G9)/2</f>
        <v>718.5</v>
      </c>
    </row>
    <row r="145" spans="1:27" ht="11.6" x14ac:dyDescent="0.3">
      <c r="A145" s="13"/>
      <c r="B145" s="13"/>
      <c r="C145" s="13"/>
      <c r="D145" s="13"/>
      <c r="E145" s="13"/>
      <c r="F145" s="13"/>
      <c r="G145" s="13"/>
      <c r="H145" s="13"/>
      <c r="I145" s="8"/>
      <c r="J145" s="1"/>
      <c r="K145" s="1"/>
      <c r="L145" s="1"/>
      <c r="AA145" s="2">
        <f ca="1">I113+0.43*I116</f>
        <v>13302.616636722923</v>
      </c>
    </row>
    <row r="146" spans="1:27" ht="11.6" x14ac:dyDescent="0.3">
      <c r="A146" s="13"/>
      <c r="B146" s="13"/>
      <c r="C146" s="13"/>
      <c r="D146" s="13"/>
      <c r="E146" s="15"/>
      <c r="F146" s="15"/>
      <c r="G146" s="17"/>
      <c r="H146" s="14"/>
      <c r="I146" s="8"/>
      <c r="J146" s="1"/>
      <c r="K146" s="1"/>
      <c r="L146" s="1"/>
      <c r="AA146" s="2">
        <f>SQRT((E8*I115)^2+(E9*I114)^2+(I114*I115)^2)</f>
        <v>9896.1782249370372</v>
      </c>
    </row>
    <row r="147" spans="1:27" ht="11.6" x14ac:dyDescent="0.3">
      <c r="A147" s="13"/>
      <c r="B147" s="13"/>
      <c r="C147" s="13"/>
      <c r="D147" s="13"/>
      <c r="E147" s="13"/>
      <c r="F147" s="15"/>
      <c r="G147" s="17"/>
      <c r="H147" s="14"/>
      <c r="I147" s="8"/>
      <c r="J147" s="1"/>
      <c r="K147" s="1"/>
      <c r="L147" s="1"/>
      <c r="AA147" s="11">
        <f ca="1">I113</f>
        <v>9047.2599999999984</v>
      </c>
    </row>
    <row r="148" spans="1:27" ht="11.6" x14ac:dyDescent="0.3">
      <c r="A148" s="13"/>
      <c r="B148" s="13"/>
      <c r="C148" s="13"/>
      <c r="D148" s="13"/>
      <c r="E148" s="13"/>
      <c r="F148" s="17"/>
      <c r="G148" s="15"/>
      <c r="H148" s="18"/>
      <c r="I148" s="8"/>
      <c r="J148" s="1"/>
      <c r="K148" s="1"/>
      <c r="L148" s="1"/>
      <c r="AA148" s="2">
        <f ca="1">I113-0.43*I116</f>
        <v>4791.9033632770725</v>
      </c>
    </row>
    <row r="149" spans="1:27" ht="11.6" x14ac:dyDescent="0.3">
      <c r="A149" s="13"/>
      <c r="B149" s="13"/>
      <c r="C149" s="13"/>
      <c r="D149" s="13"/>
      <c r="E149" s="15"/>
      <c r="F149" s="15"/>
      <c r="G149" s="14"/>
      <c r="H149" s="18"/>
      <c r="I149" s="8"/>
      <c r="J149" s="1"/>
      <c r="K149" s="1"/>
      <c r="L149" s="1"/>
      <c r="AA149" s="2">
        <f ca="1">ABS(I113/I116)</f>
        <v>0.91421756908157947</v>
      </c>
    </row>
    <row r="150" spans="1:27" ht="11.6" x14ac:dyDescent="0.3">
      <c r="A150" s="13"/>
      <c r="B150" s="13"/>
      <c r="C150" s="13"/>
      <c r="D150" s="13"/>
      <c r="E150" s="13"/>
      <c r="F150" s="15"/>
      <c r="G150" s="14"/>
      <c r="H150" s="18"/>
      <c r="I150" s="8"/>
      <c r="J150" s="8"/>
      <c r="K150" s="1"/>
      <c r="L150" s="1"/>
      <c r="AA150" s="2">
        <f ca="1">ABS((I113-D110)/I116)</f>
        <v>0.91421756908157947</v>
      </c>
    </row>
    <row r="151" spans="1:27" ht="11.6" x14ac:dyDescent="0.3">
      <c r="A151" s="13"/>
      <c r="B151" s="13"/>
      <c r="C151" s="14"/>
      <c r="D151" s="13"/>
      <c r="E151" s="13"/>
      <c r="F151" s="13"/>
      <c r="G151" s="18"/>
      <c r="H151" s="18"/>
      <c r="I151" s="8"/>
      <c r="J151" s="8"/>
      <c r="K151" s="1"/>
      <c r="L151" s="1"/>
      <c r="AA151" s="2">
        <f ca="1">I113-0.97*I116</f>
        <v>-552.0328781889275</v>
      </c>
    </row>
    <row r="152" spans="1:27" ht="11.6" x14ac:dyDescent="0.3">
      <c r="A152" s="13"/>
      <c r="B152" s="13"/>
      <c r="C152" s="14"/>
      <c r="D152" s="13"/>
      <c r="E152" s="15"/>
      <c r="F152" s="15"/>
      <c r="G152" s="14"/>
      <c r="H152" s="18"/>
      <c r="I152" s="8"/>
      <c r="J152" s="8"/>
      <c r="K152" s="1"/>
      <c r="L152" s="1"/>
      <c r="AA152" s="2">
        <f ca="1">1/(1+(0.2316419*I118))</f>
        <v>0.82523836751101187</v>
      </c>
    </row>
    <row r="153" spans="1:27" ht="11.6" x14ac:dyDescent="0.3">
      <c r="A153" s="13"/>
      <c r="B153" s="13"/>
      <c r="C153" s="14"/>
      <c r="D153" s="13"/>
      <c r="E153" s="13"/>
      <c r="F153" s="15"/>
      <c r="G153" s="14"/>
      <c r="H153" s="14"/>
      <c r="I153" s="8"/>
      <c r="J153" s="8"/>
      <c r="K153" s="1"/>
      <c r="L153" s="1"/>
      <c r="AA153" s="2">
        <f ca="1">1/(1+(0.2316419*J118))</f>
        <v>0.82523836751101187</v>
      </c>
    </row>
    <row r="154" spans="1:27" ht="11.6" x14ac:dyDescent="0.3">
      <c r="A154" s="13"/>
      <c r="B154" s="14"/>
      <c r="C154" s="14"/>
      <c r="D154" s="13"/>
      <c r="E154" s="13"/>
      <c r="F154" s="15"/>
      <c r="G154" s="14"/>
      <c r="H154" s="18"/>
      <c r="I154" s="8"/>
      <c r="J154" s="8"/>
      <c r="K154" s="1"/>
      <c r="L154" s="1"/>
      <c r="AA154" s="2">
        <f ca="1">0.398942281*EXP(I118^2/-2)</f>
        <v>0.26267561436977738</v>
      </c>
    </row>
    <row r="155" spans="1:27" ht="11.6" x14ac:dyDescent="0.3">
      <c r="A155" s="13"/>
      <c r="B155" s="14"/>
      <c r="C155" s="14"/>
      <c r="D155" s="13"/>
      <c r="E155" s="13"/>
      <c r="F155" s="13"/>
      <c r="G155" s="18"/>
      <c r="H155" s="18"/>
      <c r="I155" s="8"/>
      <c r="J155" s="8"/>
      <c r="K155" s="1"/>
      <c r="L155" s="1"/>
      <c r="AA155" s="2">
        <f ca="1">0.398942281*EXP(J118^2/-2)</f>
        <v>0.26267561436977738</v>
      </c>
    </row>
    <row r="156" spans="1:27" ht="11.6" x14ac:dyDescent="0.3">
      <c r="A156" s="13"/>
      <c r="B156" s="14"/>
      <c r="C156" s="14"/>
      <c r="D156" s="13"/>
      <c r="E156" s="13"/>
      <c r="F156" s="13"/>
      <c r="G156" s="16"/>
      <c r="H156" s="18"/>
      <c r="I156" s="8"/>
      <c r="J156" s="1"/>
      <c r="K156" s="1"/>
      <c r="L156" s="1"/>
      <c r="AA156" s="2">
        <f ca="1">I120*(0.31938153*I119-0.356563782*I119^2+1.781477937*I119^3-1.821255978*I119^4+1.330274429*I119^5)</f>
        <v>0.18030123892910752</v>
      </c>
    </row>
    <row r="157" spans="1:27" ht="11.6" x14ac:dyDescent="0.3">
      <c r="A157" s="13"/>
      <c r="B157" s="13"/>
      <c r="C157" s="14"/>
      <c r="D157" s="13"/>
      <c r="E157" s="13"/>
      <c r="F157" s="13"/>
      <c r="G157" s="18"/>
      <c r="H157" s="18"/>
      <c r="I157" s="1"/>
      <c r="J157" s="1"/>
      <c r="K157" s="1"/>
      <c r="L157" s="1"/>
      <c r="AA157" s="2">
        <f ca="1">J120*(0.31938153*J119-0.356563782*J119^2+1.781477937*J119^3-1.821255978*J119^4+1.330274429*J119^5)</f>
        <v>0.18030123892910752</v>
      </c>
    </row>
    <row r="158" spans="1:27" ht="11.6" x14ac:dyDescent="0.3">
      <c r="A158" s="13"/>
      <c r="B158" s="13"/>
      <c r="C158" s="13"/>
      <c r="D158" s="13"/>
      <c r="E158" s="13"/>
      <c r="F158" s="13"/>
      <c r="G158" s="13"/>
      <c r="H158" s="18"/>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4"/>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b8CFX1H9ZIjQxcFS7cswNU53CBnTPaebsqRF78Q5cYBsxsv/b+mWH+PZvx2kFWoAt9I3wyTYoCTVMSqWxVjUvg==" saltValue="r3wvOhzxCDYmn4vhQjCYiw==" spinCount="100000" sheet="1" objects="1" scenarios="1"/>
  <phoneticPr fontId="7" type="noConversion"/>
  <conditionalFormatting sqref="H112">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29" r:id="rId1" xr:uid="{00000000-0004-0000-0000-000000000000}"/>
    <hyperlink ref="D131" r:id="rId2" xr:uid="{E279832A-3E23-4903-848C-098C13CC8149}"/>
  </hyperlinks>
  <printOptions horizontalCentered="1"/>
  <pageMargins left="0.75" right="0.75" top="1" bottom="1" header="0.5" footer="0.5"/>
  <pageSetup scale="64" orientation="portrait" blackAndWhite="1" horizontalDpi="300" r:id="rId3"/>
  <headerFooter alignWithMargins="0">
    <oddHeader xml:space="preserve">&amp;L                                                                        </oddHeader>
    <oddFooter>&amp;CPage -&amp;P-&amp;R</oddFooter>
  </headerFooter>
  <rowBreaks count="1" manualBreakCount="1">
    <brk id="65" max="26"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10893C9-D6F9-4A96-ABFF-2E968B6B5C22}"/>
</file>

<file path=customXml/itemProps2.xml><?xml version="1.0" encoding="utf-8"?>
<ds:datastoreItem xmlns:ds="http://schemas.openxmlformats.org/officeDocument/2006/customXml" ds:itemID="{5AA9F871-5272-44CA-9685-CCE539769657}"/>
</file>

<file path=customXml/itemProps3.xml><?xml version="1.0" encoding="utf-8"?>
<ds:datastoreItem xmlns:ds="http://schemas.openxmlformats.org/officeDocument/2006/customXml" ds:itemID="{B461575A-E34E-4178-9825-22D5BA15BD1B}"/>
</file>

<file path=customXml/itemProps4.xml><?xml version="1.0" encoding="utf-8"?>
<ds:datastoreItem xmlns:ds="http://schemas.openxmlformats.org/officeDocument/2006/customXml" ds:itemID="{5184B92C-1E92-4F39-A149-81F71C78FCDF}"/>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YPLUM</vt:lpstr>
      <vt:lpstr>YPLUM!Print_Area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Bplum</dc:title>
  <dc:subject>Bear2000</dc:subject>
  <dc:creator>Molenhuis, John (OMAFRA)</dc:creator>
  <cp:lastModifiedBy>Molenhuis, John (OMAFRA)</cp:lastModifiedBy>
  <cp:lastPrinted>2011-06-06T18:59:05Z</cp:lastPrinted>
  <dcterms:created xsi:type="dcterms:W3CDTF">2000-03-03T00:08:53Z</dcterms:created>
  <dcterms:modified xsi:type="dcterms:W3CDTF">2024-04-25T13:28:20Z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2020-06-09T14:44:12.6413425Z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cdc68cae-932f-4540-8a08-4462be6402ac</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