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treefruit/2023/"/>
    </mc:Choice>
  </mc:AlternateContent>
  <xr:revisionPtr revIDLastSave="45" documentId="8_{FC2BD336-4007-464A-9BDC-C0F01CD464BE}" xr6:coauthVersionLast="47" xr6:coauthVersionMax="47" xr10:uidLastSave="{1CEE9E04-8AA0-437E-B738-3DEAA236FF57}"/>
  <bookViews>
    <workbookView xWindow="0" yWindow="0" windowWidth="10971" windowHeight="11743" xr2:uid="{00000000-000D-0000-FFFF-FFFF00000000}"/>
  </bookViews>
  <sheets>
    <sheet name="Nectrin" sheetId="1" r:id="rId1"/>
  </sheets>
  <definedNames>
    <definedName name="_Key1" localSheetId="0" hidden="1">Nectrin!$HW$39:$HW$42</definedName>
    <definedName name="_Key1" hidden="1">#REF!</definedName>
    <definedName name="_Order1" hidden="1">255</definedName>
    <definedName name="_Parse_In" localSheetId="0" hidden="1">Nectrin!$H$118:$H$120</definedName>
    <definedName name="_Parse_In" hidden="1">#REF!</definedName>
    <definedName name="_Parse_Out" localSheetId="0" hidden="1">Nectrin!$H$122</definedName>
    <definedName name="_Parse_Out" hidden="1">#REF!</definedName>
    <definedName name="_Regression_Int" localSheetId="0" hidden="1">1</definedName>
    <definedName name="_Sort" localSheetId="0" hidden="1">Nectrin!$HV$39:$IB$42</definedName>
    <definedName name="_Sort" hidden="1">#REF!</definedName>
    <definedName name="_Table2_In1" localSheetId="0" hidden="1">Nectrin!$BA$49</definedName>
    <definedName name="_Table2_In1" hidden="1">#REF!</definedName>
    <definedName name="_Table2_In2" localSheetId="0" hidden="1">Nectrin!$BA$50</definedName>
    <definedName name="_Table2_In2" hidden="1">#REF!</definedName>
    <definedName name="_Table2_Out" localSheetId="0" hidden="1">Nectrin!$BB$15:$BJ$47</definedName>
    <definedName name="_Table2_Out" hidden="1">#REF!</definedName>
    <definedName name="_xlnm.Print_Area" localSheetId="0">Nectrin!$A$2:$AA$132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0" i="1" l="1"/>
  <c r="AA116" i="1" l="1"/>
  <c r="AA120" i="1" s="1"/>
  <c r="H85" i="1" s="1"/>
  <c r="AA119" i="1" s="1"/>
  <c r="G85" i="1" s="1"/>
  <c r="AA107" i="1"/>
  <c r="AA109" i="1" s="1"/>
  <c r="H81" i="1" s="1"/>
  <c r="AA110" i="1"/>
  <c r="AA112" i="1" s="1"/>
  <c r="H82" i="1" s="1"/>
  <c r="AA111" i="1" s="1"/>
  <c r="G82" i="1" s="1"/>
  <c r="AA86" i="1"/>
  <c r="AA88" i="1" s="1"/>
  <c r="H68" i="1" s="1"/>
  <c r="AA87" i="1" s="1"/>
  <c r="G68" i="1" s="1"/>
  <c r="AA89" i="1"/>
  <c r="AA91" i="1" s="1"/>
  <c r="H69" i="1" s="1"/>
  <c r="AA90" i="1" s="1"/>
  <c r="G69" i="1" s="1"/>
  <c r="AA101" i="1"/>
  <c r="AA92" i="1"/>
  <c r="AA94" i="1" s="1"/>
  <c r="H70" i="1" s="1"/>
  <c r="AA93" i="1" s="1"/>
  <c r="G70" i="1" s="1"/>
  <c r="AA95" i="1"/>
  <c r="AA97" i="1" s="1"/>
  <c r="H71" i="1" s="1"/>
  <c r="AA96" i="1" s="1"/>
  <c r="G71" i="1" s="1"/>
  <c r="AA98" i="1"/>
  <c r="AA100" i="1" s="1"/>
  <c r="H72" i="1" s="1"/>
  <c r="AA99" i="1" s="1"/>
  <c r="G72" i="1" s="1"/>
  <c r="AA117" i="1"/>
  <c r="G84" i="1" s="1"/>
  <c r="AA118" i="1" s="1"/>
  <c r="H84" i="1" s="1"/>
  <c r="AA143" i="1"/>
  <c r="I114" i="1" s="1"/>
  <c r="AA69" i="1"/>
  <c r="E57" i="1" s="1"/>
  <c r="AA123" i="1"/>
  <c r="E91" i="1" s="1"/>
  <c r="AA124" i="1" s="1"/>
  <c r="F91" i="1" s="1"/>
  <c r="AA13" i="1" s="1"/>
  <c r="K18" i="1" s="1"/>
  <c r="AA81" i="1"/>
  <c r="H61" i="1" s="1"/>
  <c r="AA84" i="1"/>
  <c r="G64" i="1" s="1"/>
  <c r="AA85" i="1" s="1"/>
  <c r="H64" i="1" s="1"/>
  <c r="AA82" i="1"/>
  <c r="G63" i="1" s="1"/>
  <c r="AA83" i="1" s="1"/>
  <c r="H63" i="1" s="1"/>
  <c r="G61" i="1"/>
  <c r="AA78" i="1"/>
  <c r="G60" i="1" s="1"/>
  <c r="AA79" i="1" s="1"/>
  <c r="H60" i="1" s="1"/>
  <c r="AA76" i="1"/>
  <c r="G59" i="1" s="1"/>
  <c r="AA77" i="1" s="1"/>
  <c r="H59" i="1" s="1"/>
  <c r="AA113" i="1"/>
  <c r="AA115" i="1" s="1"/>
  <c r="H83" i="1" s="1"/>
  <c r="AA114" i="1" s="1"/>
  <c r="G83" i="1" s="1"/>
  <c r="AA70" i="1"/>
  <c r="F57" i="1" s="1"/>
  <c r="AA21" i="1"/>
  <c r="G25" i="1" s="1"/>
  <c r="AA22" i="1" s="1"/>
  <c r="H25" i="1" s="1"/>
  <c r="AA25" i="1"/>
  <c r="G27" i="1" s="1"/>
  <c r="AA26" i="1" s="1"/>
  <c r="H27" i="1" s="1"/>
  <c r="AA28" i="1"/>
  <c r="G28" i="1" s="1"/>
  <c r="AA29" i="1" s="1"/>
  <c r="H28" i="1" s="1"/>
  <c r="AA18" i="1"/>
  <c r="G24" i="1" s="1"/>
  <c r="AA19" i="1" s="1"/>
  <c r="H24" i="1" s="1"/>
  <c r="AA31" i="1"/>
  <c r="G29" i="1" s="1"/>
  <c r="AA32" i="1" s="1"/>
  <c r="H29" i="1" s="1"/>
  <c r="AA34" i="1"/>
  <c r="G30" i="1" s="1"/>
  <c r="AA35" i="1" s="1"/>
  <c r="H30" i="1" s="1"/>
  <c r="AA36" i="1"/>
  <c r="G31" i="1" s="1"/>
  <c r="AA37" i="1" s="1"/>
  <c r="H31" i="1" s="1"/>
  <c r="AA41" i="1"/>
  <c r="G37" i="1" s="1"/>
  <c r="AA42" i="1" s="1"/>
  <c r="H37" i="1" s="1"/>
  <c r="AA43" i="1"/>
  <c r="G38" i="1"/>
  <c r="AA44" i="1" s="1"/>
  <c r="H38" i="1" s="1"/>
  <c r="AA45" i="1"/>
  <c r="G39" i="1" s="1"/>
  <c r="AA46" i="1" s="1"/>
  <c r="H39" i="1" s="1"/>
  <c r="AA47" i="1"/>
  <c r="G41" i="1" s="1"/>
  <c r="AA48" i="1" s="1"/>
  <c r="H41" i="1" s="1"/>
  <c r="AA49" i="1"/>
  <c r="G42" i="1" s="1"/>
  <c r="AA50" i="1" s="1"/>
  <c r="H42" i="1" s="1"/>
  <c r="AA51" i="1"/>
  <c r="G44" i="1" s="1"/>
  <c r="AA52" i="1" s="1"/>
  <c r="H44" i="1" s="1"/>
  <c r="AA53" i="1"/>
  <c r="G45" i="1" s="1"/>
  <c r="AA54" i="1" s="1"/>
  <c r="H45" i="1" s="1"/>
  <c r="AA55" i="1"/>
  <c r="G46" i="1" s="1"/>
  <c r="AA56" i="1" s="1"/>
  <c r="H46" i="1" s="1"/>
  <c r="AA57" i="1"/>
  <c r="G48" i="1" s="1"/>
  <c r="AA58" i="1" s="1"/>
  <c r="H48" i="1" s="1"/>
  <c r="AA59" i="1"/>
  <c r="G49" i="1" s="1"/>
  <c r="AA60" i="1" s="1"/>
  <c r="H49" i="1" s="1"/>
  <c r="AA61" i="1"/>
  <c r="G50" i="1" s="1"/>
  <c r="AA62" i="1" s="1"/>
  <c r="H50" i="1" s="1"/>
  <c r="AA63" i="1"/>
  <c r="G54" i="1" s="1"/>
  <c r="AA64" i="1" s="1"/>
  <c r="H54" i="1" s="1"/>
  <c r="AA65" i="1"/>
  <c r="G55" i="1" s="1"/>
  <c r="AA66" i="1" s="1"/>
  <c r="H55" i="1" s="1"/>
  <c r="AA20" i="1" s="1"/>
  <c r="K24" i="1" s="1"/>
  <c r="AA73" i="1"/>
  <c r="AA74" i="1"/>
  <c r="G58" i="1" s="1"/>
  <c r="AA75" i="1" s="1"/>
  <c r="H58" i="1" s="1"/>
  <c r="AA67" i="1"/>
  <c r="G56" i="1" s="1"/>
  <c r="AA68" i="1" s="1"/>
  <c r="H56" i="1" s="1"/>
  <c r="AA30" i="1" s="1"/>
  <c r="K28" i="1" s="1"/>
  <c r="AA6" i="1"/>
  <c r="D15" i="1" s="1"/>
  <c r="AA38" i="1" s="1"/>
  <c r="K33" i="1" s="1"/>
  <c r="AA12" i="1" s="1"/>
  <c r="D18" i="1" s="1"/>
  <c r="AA17" i="1"/>
  <c r="K23" i="1"/>
  <c r="AA16" i="1"/>
  <c r="K21" i="1" s="1"/>
  <c r="AA15" i="1"/>
  <c r="K20" i="1" s="1"/>
  <c r="AA5" i="1"/>
  <c r="G10" i="1" s="1"/>
  <c r="AA4" i="1"/>
  <c r="E10" i="1" s="1"/>
  <c r="AA3" i="1"/>
  <c r="C10" i="1" s="1"/>
  <c r="AA142" i="1" l="1"/>
  <c r="I113" i="1" s="1"/>
  <c r="AA144" i="1" s="1"/>
  <c r="I115" i="1" s="1"/>
  <c r="AA71" i="1"/>
  <c r="G57" i="1" s="1"/>
  <c r="AA72" i="1" s="1"/>
  <c r="H57" i="1" s="1"/>
  <c r="AA27" i="1" s="1"/>
  <c r="K27" i="1" s="1"/>
  <c r="AA23" i="1"/>
  <c r="K25" i="1" s="1"/>
  <c r="AA24" i="1"/>
  <c r="K26" i="1" s="1"/>
  <c r="AA10" i="1"/>
  <c r="D17" i="1" s="1"/>
  <c r="AA125" i="1" s="1"/>
  <c r="AA126" i="1" s="1"/>
  <c r="AA7" i="1" s="1"/>
  <c r="K15" i="1" s="1"/>
  <c r="AA8" i="1"/>
  <c r="D16" i="1" s="1"/>
  <c r="AA108" i="1"/>
  <c r="G81" i="1" s="1"/>
  <c r="AA122" i="1"/>
  <c r="H87" i="1" s="1"/>
  <c r="AA39" i="1"/>
  <c r="K34" i="1" s="1"/>
  <c r="AA40" i="1" s="1"/>
  <c r="K35" i="1" s="1"/>
  <c r="AA33" i="1"/>
  <c r="K29" i="1" s="1"/>
  <c r="AA140" i="1" l="1"/>
  <c r="G113" i="1" s="1"/>
  <c r="H113" i="1" s="1"/>
  <c r="AA14" i="1"/>
  <c r="K19" i="1" s="1"/>
  <c r="AA106" i="1"/>
  <c r="J77" i="1" s="1"/>
  <c r="AA103" i="1" s="1"/>
  <c r="H75" i="1" s="1"/>
  <c r="AA105" i="1" s="1"/>
  <c r="H77" i="1" s="1"/>
  <c r="AA132" i="1"/>
  <c r="F96" i="1" s="1"/>
  <c r="AA131" i="1" s="1"/>
  <c r="E96" i="1" s="1"/>
  <c r="AA136" i="1" s="1"/>
  <c r="G105" i="1" s="1"/>
  <c r="AA121" i="1"/>
  <c r="G87" i="1" s="1"/>
  <c r="AA11" i="1"/>
  <c r="K17" i="1" s="1"/>
  <c r="AA102" i="1" l="1"/>
  <c r="G75" i="1" s="1"/>
  <c r="AA104" i="1"/>
  <c r="G77" i="1" s="1"/>
  <c r="AA9" i="1"/>
  <c r="K16" i="1" s="1"/>
  <c r="AA128" i="1"/>
  <c r="F93" i="1" s="1"/>
  <c r="AA127" i="1" l="1"/>
  <c r="E93" i="1" s="1"/>
  <c r="AA135" i="1" s="1"/>
  <c r="G104" i="1" s="1"/>
  <c r="AA137" i="1" s="1"/>
  <c r="G107" i="1" s="1"/>
  <c r="AA130" i="1"/>
  <c r="F95" i="1" s="1"/>
  <c r="AA129" i="1" l="1"/>
  <c r="E95" i="1" s="1"/>
  <c r="AA133" i="1" s="1"/>
  <c r="E98" i="1" s="1"/>
  <c r="AA134" i="1"/>
  <c r="F98" i="1" s="1"/>
  <c r="AA2" i="1" l="1"/>
  <c r="H3" i="1" s="1"/>
  <c r="AA141" i="1"/>
  <c r="I112" i="1" s="1"/>
  <c r="AA148" i="1" l="1"/>
  <c r="J117" i="1" s="1"/>
  <c r="AA147" i="1"/>
  <c r="I117" i="1" s="1"/>
  <c r="AA155" i="1"/>
  <c r="C122" i="1" s="1"/>
  <c r="AA149" i="1"/>
  <c r="C120" i="1" s="1"/>
  <c r="AA145" i="1"/>
  <c r="C118" i="1" s="1"/>
  <c r="AA146" i="1"/>
  <c r="C119" i="1" s="1"/>
  <c r="AA152" i="1"/>
  <c r="C121" i="1" s="1"/>
  <c r="AA150" i="1" l="1"/>
  <c r="I118" i="1" s="1"/>
  <c r="AA153" i="1"/>
  <c r="I119" i="1" s="1"/>
  <c r="AA151" i="1"/>
  <c r="J118" i="1" s="1"/>
  <c r="AA154" i="1"/>
  <c r="J119" i="1" s="1"/>
  <c r="AA157" i="1" l="1"/>
  <c r="J120" i="1" s="1"/>
  <c r="AA139" i="1" s="1"/>
  <c r="G111" i="1" s="1"/>
  <c r="AA156" i="1"/>
  <c r="I120" i="1" s="1"/>
  <c r="AA138" i="1" s="1"/>
  <c r="G1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7" authorId="0" shapeId="0" xr:uid="{00000000-0006-0000-0000-000001000000}">
      <text>
        <r>
          <rPr>
            <b/>
            <sz val="8"/>
            <color indexed="81"/>
            <rFont val="Tahoma"/>
            <family val="2"/>
          </rPr>
          <t>The Optimistic estimate is the best result you would reasonably expect to be seen at least 1 out of every 6 years</t>
        </r>
        <r>
          <rPr>
            <sz val="8"/>
            <color indexed="81"/>
            <rFont val="Tahoma"/>
            <family val="2"/>
          </rPr>
          <t xml:space="preserve">
</t>
        </r>
      </text>
    </comment>
    <comment ref="E7" authorId="0" shapeId="0" xr:uid="{00000000-0006-0000-0000-000002000000}">
      <text>
        <r>
          <rPr>
            <b/>
            <sz val="8"/>
            <color indexed="81"/>
            <rFont val="Tahoma"/>
            <family val="2"/>
          </rPr>
          <t>The Expected outcome is the most likely outcome you expect this year</t>
        </r>
        <r>
          <rPr>
            <sz val="8"/>
            <color indexed="81"/>
            <rFont val="Tahoma"/>
            <family val="2"/>
          </rPr>
          <t xml:space="preserve">
</t>
        </r>
      </text>
    </comment>
    <comment ref="G7" authorId="0" shapeId="0" xr:uid="{00000000-0006-0000-0000-000003000000}">
      <text>
        <r>
          <rPr>
            <b/>
            <sz val="8"/>
            <color indexed="81"/>
            <rFont val="Tahoma"/>
            <family val="2"/>
          </rPr>
          <t xml:space="preserve">The Pessimistic expectation should be the poorest result you would reasonably expect to occur 1 out of every 6 years </t>
        </r>
        <r>
          <rPr>
            <sz val="8"/>
            <color indexed="81"/>
            <rFont val="Tahoma"/>
            <family val="2"/>
          </rPr>
          <t xml:space="preserve">
</t>
        </r>
      </text>
    </comment>
    <comment ref="C113" authorId="0" shapeId="0" xr:uid="{00000000-0006-0000-0000-000004000000}">
      <text>
        <r>
          <rPr>
            <b/>
            <sz val="8"/>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<sst xmlns="http://schemas.openxmlformats.org/spreadsheetml/2006/main" count="229" uniqueCount="148">
  <si>
    <t>NECTARINE ENTERPRISE BUDGET</t>
  </si>
  <si>
    <t>Number of Acres =</t>
  </si>
  <si>
    <t>1 tonne =</t>
  </si>
  <si>
    <t>tons</t>
  </si>
  <si>
    <t>Yield - tons</t>
  </si>
  <si>
    <t>Price - $/ton</t>
  </si>
  <si>
    <t>Production- tons</t>
  </si>
  <si>
    <t xml:space="preserve">  Crop Insurance</t>
  </si>
  <si>
    <t xml:space="preserve">   C.I. Premium/ac:</t>
  </si>
  <si>
    <t xml:space="preserve">   Level of Coverage</t>
  </si>
  <si>
    <t xml:space="preserve">   Guaranteed Yield/ac.</t>
  </si>
  <si>
    <t xml:space="preserve">   Probability of a payout</t>
  </si>
  <si>
    <t xml:space="preserve">   Expected Payout/ac</t>
  </si>
  <si>
    <t>Participate in CI? (y/n)</t>
  </si>
  <si>
    <t>Unit/Ac</t>
  </si>
  <si>
    <t>Number</t>
  </si>
  <si>
    <t>Cost/Unit</t>
  </si>
  <si>
    <t>$/Acre</t>
  </si>
  <si>
    <t>$/Year</t>
  </si>
  <si>
    <t>Expenses</t>
  </si>
  <si>
    <t>-------</t>
  </si>
  <si>
    <t xml:space="preserve">  ------</t>
  </si>
  <si>
    <t>-</t>
  </si>
  <si>
    <t xml:space="preserve"> ------</t>
  </si>
  <si>
    <t xml:space="preserve">   -------</t>
  </si>
  <si>
    <t>Allo!C3..J14</t>
  </si>
  <si>
    <t>ANNUAL PRODUCTION COSTS:</t>
  </si>
  <si>
    <t xml:space="preserve"> Seasonal Labour</t>
  </si>
  <si>
    <t>hr.</t>
  </si>
  <si>
    <t xml:space="preserve"> Operator Labour</t>
  </si>
  <si>
    <t xml:space="preserve"> Fertilizers:</t>
  </si>
  <si>
    <t xml:space="preserve">      1.</t>
  </si>
  <si>
    <t>kg or l</t>
  </si>
  <si>
    <t xml:space="preserve">      2.</t>
  </si>
  <si>
    <t>Muriate of Potash</t>
  </si>
  <si>
    <t xml:space="preserve">      3.</t>
  </si>
  <si>
    <t xml:space="preserve"> </t>
  </si>
  <si>
    <t xml:space="preserve">      4.</t>
  </si>
  <si>
    <t xml:space="preserve">      5.</t>
  </si>
  <si>
    <t>Grip prob factor (component of grip)</t>
  </si>
  <si>
    <t>N/A</t>
  </si>
  <si>
    <t>C.I. prob factor (component of Crop Insurance)</t>
  </si>
  <si>
    <t xml:space="preserve"> Spray Materials:</t>
  </si>
  <si>
    <t xml:space="preserve">  Insecticides:</t>
  </si>
  <si>
    <t>All Insecticides</t>
  </si>
  <si>
    <t>_______________</t>
  </si>
  <si>
    <t xml:space="preserve">  Herbicides:</t>
  </si>
  <si>
    <t xml:space="preserve">All Herbicides  </t>
  </si>
  <si>
    <t xml:space="preserve">  Fungicides:</t>
  </si>
  <si>
    <t xml:space="preserve">All Fungicides   </t>
  </si>
  <si>
    <t xml:space="preserve">  Other Sprays</t>
  </si>
  <si>
    <t>All Other Sprays</t>
  </si>
  <si>
    <t xml:space="preserve"> Other Expenses:</t>
  </si>
  <si>
    <t xml:space="preserve">  Manure</t>
  </si>
  <si>
    <t xml:space="preserve">  Cover Crop Seed</t>
  </si>
  <si>
    <t>$</t>
  </si>
  <si>
    <t>Insurance</t>
  </si>
  <si>
    <t xml:space="preserve">  Replacement Trees</t>
  </si>
  <si>
    <t>no.</t>
  </si>
  <si>
    <t xml:space="preserve">  Custom Work</t>
  </si>
  <si>
    <t>Typical</t>
  </si>
  <si>
    <t xml:space="preserve"> $/Acre</t>
  </si>
  <si>
    <t xml:space="preserve"> Fuel</t>
  </si>
  <si>
    <t xml:space="preserve"> Mach. Repair &amp; Maint.</t>
  </si>
  <si>
    <t xml:space="preserve"> Bldg. Repair &amp; Maint.</t>
  </si>
  <si>
    <t>Wfarm!L4</t>
  </si>
  <si>
    <t>Wfarm!L5</t>
  </si>
  <si>
    <t xml:space="preserve"> General Variable Costs</t>
  </si>
  <si>
    <t>Wfarm!L6</t>
  </si>
  <si>
    <t>Wfarm!L7</t>
  </si>
  <si>
    <t>Interest on</t>
  </si>
  <si>
    <t>%int</t>
  </si>
  <si>
    <t>%year</t>
  </si>
  <si>
    <t>Wfarm!L8</t>
  </si>
  <si>
    <t>Operating Capital</t>
  </si>
  <si>
    <t xml:space="preserve">     ------</t>
  </si>
  <si>
    <t>Total Variable Costs</t>
  </si>
  <si>
    <t>Wfarm!L9</t>
  </si>
  <si>
    <t>Fixed Costs:</t>
  </si>
  <si>
    <t>Wfarm!K4</t>
  </si>
  <si>
    <t xml:space="preserve"> General Fixed Costs</t>
  </si>
  <si>
    <t>Wfarm!K5</t>
  </si>
  <si>
    <t>Wfarm!K6</t>
  </si>
  <si>
    <t>Total Fixed Costs</t>
  </si>
  <si>
    <t>Wfarm!K7</t>
  </si>
  <si>
    <t>Revenues:</t>
  </si>
  <si>
    <t>Total Expected Revenues</t>
  </si>
  <si>
    <t xml:space="preserve">    less: Variable Costs</t>
  </si>
  <si>
    <t xml:space="preserve">   ------</t>
  </si>
  <si>
    <t>Expected Operating Margin</t>
  </si>
  <si>
    <t xml:space="preserve">    less: Fixed Costs</t>
  </si>
  <si>
    <t>Expected Net Revenue</t>
  </si>
  <si>
    <t xml:space="preserve">        Break-even $/ton to cover:</t>
  </si>
  <si>
    <t>Variable Costs</t>
  </si>
  <si>
    <t>Fixed Costs</t>
  </si>
  <si>
    <t>Total Costs</t>
  </si>
  <si>
    <t>Chance of at least breaking even         ==&gt;</t>
  </si>
  <si>
    <t>Chance of at least</t>
  </si>
  <si>
    <t>$/acre return  ==&gt;</t>
  </si>
  <si>
    <t>Coefficient of variation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</si>
  <si>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</si>
  <si>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</si>
  <si>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</si>
  <si>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</si>
  <si>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</si>
  <si>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</si>
  <si>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</si>
  <si>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</si>
  <si>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</si>
  <si>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</si>
  <si>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</si>
  <si>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</si>
  <si>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</si>
  <si>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</si>
  <si>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</si>
  <si>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</si>
  <si>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</si>
  <si>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Ammonium Nitrate</t>
  </si>
  <si>
    <t>Foliar Fert. (Crop Booster)</t>
  </si>
  <si>
    <t xml:space="preserve">  Consulting Fees</t>
  </si>
  <si>
    <t xml:space="preserve">  Other #1-Irrigation</t>
  </si>
  <si>
    <t xml:space="preserve">  Other #2-Leaf Analysis</t>
  </si>
  <si>
    <t>Numbers in blue can be edited/changed for individual producers</t>
  </si>
  <si>
    <t>Optimistic</t>
  </si>
  <si>
    <t xml:space="preserve"> Expected</t>
  </si>
  <si>
    <t>Pessimistic</t>
  </si>
  <si>
    <t xml:space="preserve"> Land rental</t>
  </si>
  <si>
    <t xml:space="preserve"> Depreciation - machinery</t>
  </si>
  <si>
    <t xml:space="preserve"> Interest on investment - machinery</t>
  </si>
  <si>
    <t xml:space="preserve"> Land ownership</t>
  </si>
  <si>
    <t>Return Per Acre:</t>
  </si>
  <si>
    <t>Packing</t>
  </si>
  <si>
    <t xml:space="preserve">Risk Indicator - </t>
  </si>
  <si>
    <t>Low Risk</t>
  </si>
  <si>
    <t>Moderate Risk</t>
  </si>
  <si>
    <t>High Risk</t>
  </si>
  <si>
    <t xml:space="preserve">The user of this worksheet assumes all responsibility. </t>
  </si>
  <si>
    <t>For more information:</t>
  </si>
  <si>
    <t>OMAFRA Agricultural Information Contact Centre</t>
  </si>
  <si>
    <t>ag.info.omafra@ontario.ca</t>
  </si>
  <si>
    <t>1-877-424-1300</t>
  </si>
  <si>
    <t xml:space="preserve"> Cold storage </t>
  </si>
  <si>
    <t>This is a cost of production budgeting tool that has 1 worksheet. There are fields that can be completed by the user. It is up to 21 columns wide and 252 rows.</t>
  </si>
  <si>
    <t>Ontario Ministry of Agriculture, Food and Rural Affairs Website</t>
  </si>
  <si>
    <t>End of worksheet</t>
  </si>
  <si>
    <t>yes</t>
  </si>
  <si>
    <t xml:space="preserve">  Other #3- Food safety</t>
  </si>
  <si>
    <t xml:space="preserve">  Revised: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</si>
</sst>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14"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8"/>
      <color indexed="81"/>
      <name val="Tahoma"/>
      <family val="2"/>
    </font>
    <font>
      <sz val="8"/>
      <color indexed="81"/>
      <name val="Tahoma"/>
      <family val="2"/>
    </font>
    <font>
      <b/>
      <sz val="12"/>
      <color indexed="8"/>
      <name val="Arial"/>
      <family val="2"/>
    </font>
    <font>
      <b/>
      <sz val="12"/>
      <color indexed="12"/>
      <name val="Arial"/>
      <family val="2"/>
    </font>
    <font>
      <b/>
      <sz val="12"/>
      <name val="Arial"/>
      <family val="2"/>
    </font>
    <font>
      <b/>
      <sz val="12"/>
      <color indexed="42"/>
      <name val="Arial"/>
      <family val="2"/>
    </font>
    <font>
      <sz val="12"/>
      <name val="Courier"/>
      <family val="3"/>
    </font>
    <font>
      <u/>
      <sz val="12"/>
      <color indexed="12"/>
      <name val="Arial"/>
      <family val="2"/>
    </font>
    <font>
      <sz val="12"/>
      <color indexed="12"/>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23">
    <xf numFmtId="0" fontId="0" fillId="0" borderId="0" xfId="0"/>
    <xf numFmtId="0" fontId="3" fillId="0" borderId="0" xfId="5" applyFont="1"/>
    <xf numFmtId="0" fontId="2" fillId="0" borderId="0" xfId="5"/>
    <xf numFmtId="169" fontId="2" fillId="0" borderId="0" xfId="5" applyNumberFormat="1"/>
    <xf numFmtId="0" fontId="3" fillId="0" borderId="0" xfId="5" applyFont="1" applyProtection="1"/>
    <xf numFmtId="169" fontId="3" fillId="0" borderId="0" xfId="5" applyNumberFormat="1" applyFont="1" applyAlignment="1" applyProtection="1">
      <alignment horizontal="center"/>
    </xf>
    <xf numFmtId="0" fontId="3" fillId="0" borderId="0" xfId="5" applyFont="1" applyAlignment="1" applyProtection="1">
      <alignment horizontal="center"/>
    </xf>
    <xf numFmtId="0" fontId="3" fillId="0" borderId="0" xfId="5" applyFont="1" applyAlignment="1" applyProtection="1">
      <alignment horizontal="left"/>
    </xf>
    <xf numFmtId="166" fontId="3" fillId="0" borderId="0" xfId="5" applyNumberFormat="1" applyFont="1" applyProtection="1"/>
    <xf numFmtId="167" fontId="2" fillId="0" borderId="0" xfId="5" applyNumberFormat="1"/>
    <xf numFmtId="166" fontId="3" fillId="0" borderId="0" xfId="5" applyNumberFormat="1" applyFont="1" applyAlignment="1" applyProtection="1">
      <alignment horizontal="center"/>
    </xf>
    <xf numFmtId="166" fontId="2" fillId="0" borderId="0" xfId="5" applyNumberFormat="1"/>
    <xf numFmtId="0" fontId="4" fillId="0" borderId="0" xfId="5" applyFont="1"/>
    <xf numFmtId="0" fontId="3" fillId="4" borderId="0" xfId="5" applyFont="1" applyFill="1" applyBorder="1"/>
    <xf numFmtId="167" fontId="3" fillId="4" borderId="0" xfId="5" applyNumberFormat="1" applyFont="1" applyFill="1" applyBorder="1" applyProtection="1"/>
    <xf numFmtId="0" fontId="3" fillId="4" borderId="0" xfId="5" applyFont="1" applyFill="1" applyBorder="1" applyProtection="1"/>
    <xf numFmtId="169" fontId="3" fillId="4" borderId="0" xfId="5" applyNumberFormat="1" applyFont="1" applyFill="1" applyBorder="1" applyProtection="1"/>
    <xf numFmtId="37" fontId="3" fillId="4" borderId="0" xfId="5" applyNumberFormat="1" applyFont="1" applyFill="1" applyBorder="1" applyProtection="1"/>
    <xf numFmtId="9" fontId="3" fillId="4" borderId="0" xfId="5" applyNumberFormat="1" applyFont="1" applyFill="1" applyBorder="1" applyProtection="1"/>
    <xf numFmtId="166" fontId="3" fillId="4" borderId="0" xfId="5" applyNumberFormat="1" applyFont="1" applyFill="1" applyBorder="1" applyProtection="1"/>
    <xf numFmtId="0" fontId="3" fillId="0" borderId="0" xfId="6" applyFont="1"/>
    <xf numFmtId="0" fontId="7" fillId="2" borderId="1" xfId="5" applyFont="1" applyFill="1" applyBorder="1" applyAlignment="1" applyProtection="1">
      <alignment horizontal="left"/>
    </xf>
    <xf numFmtId="0" fontId="7" fillId="2" borderId="2" xfId="5" applyFont="1" applyFill="1" applyBorder="1" applyProtection="1"/>
    <xf numFmtId="0" fontId="7" fillId="2" borderId="2" xfId="5" applyFont="1" applyFill="1" applyBorder="1" applyAlignment="1" applyProtection="1">
      <alignment horizontal="left"/>
    </xf>
    <xf numFmtId="0" fontId="7" fillId="2" borderId="2" xfId="5" applyFont="1" applyFill="1" applyBorder="1"/>
    <xf numFmtId="0" fontId="7" fillId="2" borderId="3" xfId="5" applyFont="1" applyFill="1" applyBorder="1"/>
    <xf numFmtId="166" fontId="7" fillId="2" borderId="4" xfId="5" applyNumberFormat="1" applyFont="1" applyFill="1" applyBorder="1" applyProtection="1"/>
    <xf numFmtId="0" fontId="7" fillId="2" borderId="0" xfId="5" applyFont="1" applyFill="1" applyBorder="1"/>
    <xf numFmtId="166" fontId="7" fillId="2" borderId="0" xfId="5" applyNumberFormat="1" applyFont="1" applyFill="1" applyBorder="1" applyProtection="1"/>
    <xf numFmtId="0" fontId="7" fillId="2" borderId="0" xfId="5" applyFont="1" applyFill="1" applyBorder="1" applyAlignment="1" applyProtection="1">
      <alignment horizontal="left"/>
    </xf>
    <xf numFmtId="164" fontId="7" fillId="2" borderId="5" xfId="5" applyNumberFormat="1" applyFont="1" applyFill="1" applyBorder="1" applyAlignment="1" applyProtection="1">
      <alignment horizontal="center"/>
    </xf>
    <xf numFmtId="0" fontId="7" fillId="2" borderId="4" xfId="5" applyFont="1" applyFill="1" applyBorder="1"/>
    <xf numFmtId="0" fontId="8" fillId="3" borderId="6" xfId="5" applyFont="1" applyFill="1" applyBorder="1" applyAlignment="1" applyProtection="1">
      <alignment horizontal="center"/>
      <protection locked="0"/>
    </xf>
    <xf numFmtId="0" fontId="7" fillId="2" borderId="0" xfId="5" applyFont="1" applyFill="1" applyBorder="1" applyProtection="1"/>
    <xf numFmtId="0" fontId="7" fillId="2" borderId="5" xfId="5" applyFont="1" applyFill="1" applyBorder="1" applyAlignment="1" applyProtection="1">
      <alignment horizontal="left"/>
    </xf>
    <xf numFmtId="0" fontId="7" fillId="2" borderId="5" xfId="5" applyFont="1" applyFill="1" applyBorder="1"/>
    <xf numFmtId="0" fontId="8" fillId="6" borderId="10" xfId="2" applyFont="1" applyFill="1" applyBorder="1" applyAlignment="1" applyProtection="1">
      <alignment horizontal="left"/>
    </xf>
    <xf numFmtId="0" fontId="7" fillId="4" borderId="7" xfId="0" applyFont="1" applyFill="1" applyBorder="1" applyAlignment="1" applyProtection="1">
      <alignment horizontal="fill"/>
    </xf>
    <xf numFmtId="0" fontId="7" fillId="4" borderId="7" xfId="5" applyFont="1" applyFill="1" applyBorder="1" applyAlignment="1" applyProtection="1">
      <alignment horizontal="fill"/>
    </xf>
    <xf numFmtId="0" fontId="7" fillId="2" borderId="4" xfId="0" applyFont="1" applyFill="1" applyBorder="1"/>
    <xf numFmtId="0" fontId="7" fillId="2" borderId="0" xfId="0" applyFont="1" applyFill="1" applyBorder="1"/>
    <xf numFmtId="0" fontId="9" fillId="5" borderId="2" xfId="0" applyFont="1" applyFill="1" applyBorder="1" applyAlignment="1" applyProtection="1">
      <alignment horizontal="center"/>
    </xf>
    <xf numFmtId="0" fontId="7" fillId="2" borderId="0" xfId="4" applyFont="1" applyFill="1" applyBorder="1"/>
    <xf numFmtId="0" fontId="7" fillId="2" borderId="4" xfId="5" applyFont="1" applyFill="1" applyBorder="1" applyAlignment="1" applyProtection="1">
      <alignment horizontal="left"/>
    </xf>
    <xf numFmtId="170" fontId="8" fillId="3" borderId="6" xfId="5" applyNumberFormat="1" applyFont="1" applyFill="1" applyBorder="1" applyAlignment="1" applyProtection="1">
      <alignment horizontal="center"/>
      <protection locked="0"/>
    </xf>
    <xf numFmtId="167" fontId="8" fillId="3" borderId="6" xfId="5" applyNumberFormat="1" applyFont="1" applyFill="1" applyBorder="1" applyAlignment="1" applyProtection="1">
      <alignment horizontal="center"/>
      <protection locked="0"/>
    </xf>
    <xf numFmtId="169" fontId="7" fillId="2" borderId="0" xfId="5" applyNumberFormat="1" applyFont="1" applyFill="1" applyBorder="1" applyAlignment="1" applyProtection="1">
      <alignment horizontal="center"/>
    </xf>
    <xf numFmtId="167" fontId="7" fillId="2" borderId="0" xfId="5" applyNumberFormat="1" applyFont="1" applyFill="1" applyBorder="1" applyProtection="1"/>
    <xf numFmtId="165" fontId="7" fillId="2" borderId="0" xfId="5" applyNumberFormat="1" applyFont="1" applyFill="1" applyBorder="1" applyProtection="1"/>
    <xf numFmtId="0" fontId="7" fillId="2" borderId="5" xfId="5" applyFont="1" applyFill="1" applyBorder="1" applyProtection="1"/>
    <xf numFmtId="171" fontId="7" fillId="2" borderId="0" xfId="5" applyNumberFormat="1" applyFont="1" applyFill="1" applyBorder="1" applyProtection="1"/>
    <xf numFmtId="10" fontId="7" fillId="2" borderId="5" xfId="5" applyNumberFormat="1" applyFont="1" applyFill="1" applyBorder="1" applyProtection="1"/>
    <xf numFmtId="9" fontId="8" fillId="3" borderId="6" xfId="5" applyNumberFormat="1" applyFont="1" applyFill="1" applyBorder="1" applyAlignment="1" applyProtection="1">
      <alignment horizontal="center"/>
      <protection locked="0"/>
    </xf>
    <xf numFmtId="167" fontId="7" fillId="2" borderId="0" xfId="5" applyNumberFormat="1" applyFont="1" applyFill="1" applyBorder="1" applyAlignment="1" applyProtection="1">
      <alignment horizontal="center"/>
    </xf>
    <xf numFmtId="169" fontId="7" fillId="2" borderId="5" xfId="5" applyNumberFormat="1" applyFont="1" applyFill="1" applyBorder="1" applyProtection="1"/>
    <xf numFmtId="10" fontId="7" fillId="2" borderId="0" xfId="5" applyNumberFormat="1" applyFont="1" applyFill="1" applyBorder="1" applyAlignment="1" applyProtection="1">
      <alignment horizontal="center"/>
    </xf>
    <xf numFmtId="165" fontId="7" fillId="2" borderId="0" xfId="5" applyNumberFormat="1" applyFont="1" applyFill="1" applyBorder="1" applyAlignment="1" applyProtection="1">
      <alignment horizontal="center"/>
    </xf>
    <xf numFmtId="169" fontId="7" fillId="2" borderId="0" xfId="5" applyNumberFormat="1" applyFont="1" applyFill="1" applyBorder="1" applyProtection="1"/>
    <xf numFmtId="166" fontId="7" fillId="2" borderId="0" xfId="5" applyNumberFormat="1" applyFont="1" applyFill="1" applyBorder="1" applyAlignment="1" applyProtection="1">
      <alignment horizontal="center"/>
    </xf>
    <xf numFmtId="167" fontId="7" fillId="2" borderId="5" xfId="5" applyNumberFormat="1" applyFont="1" applyFill="1" applyBorder="1" applyProtection="1"/>
    <xf numFmtId="0" fontId="8" fillId="5" borderId="8" xfId="5" applyFont="1" applyFill="1" applyBorder="1" applyAlignment="1" applyProtection="1">
      <alignment horizontal="center"/>
      <protection locked="0"/>
    </xf>
    <xf numFmtId="0" fontId="7" fillId="2" borderId="4" xfId="5" applyFont="1" applyFill="1" applyBorder="1" applyProtection="1"/>
    <xf numFmtId="0" fontId="7" fillId="2" borderId="0" xfId="5" applyFont="1" applyFill="1" applyBorder="1" applyAlignment="1" applyProtection="1">
      <alignment horizontal="center"/>
    </xf>
    <xf numFmtId="0" fontId="7" fillId="2" borderId="5" xfId="5" applyFont="1" applyFill="1" applyBorder="1" applyAlignment="1" applyProtection="1">
      <alignment horizontal="center"/>
    </xf>
    <xf numFmtId="165" fontId="7" fillId="2" borderId="5" xfId="5" applyNumberFormat="1" applyFont="1" applyFill="1" applyBorder="1" applyProtection="1"/>
    <xf numFmtId="0" fontId="8" fillId="5" borderId="5" xfId="5" applyFont="1" applyFill="1" applyBorder="1" applyAlignment="1" applyProtection="1">
      <alignment horizontal="left"/>
      <protection locked="0"/>
    </xf>
    <xf numFmtId="169" fontId="7" fillId="2" borderId="5" xfId="5" applyNumberFormat="1" applyFont="1" applyFill="1" applyBorder="1" applyAlignment="1" applyProtection="1">
      <alignment horizontal="center"/>
    </xf>
    <xf numFmtId="0" fontId="8" fillId="5" borderId="0" xfId="5" applyFont="1" applyFill="1" applyBorder="1" applyAlignment="1" applyProtection="1">
      <alignment horizontal="left"/>
      <protection locked="0"/>
    </xf>
    <xf numFmtId="168" fontId="8" fillId="3" borderId="6" xfId="5" applyNumberFormat="1" applyFont="1" applyFill="1" applyBorder="1" applyAlignment="1" applyProtection="1">
      <alignment horizontal="center"/>
      <protection locked="0"/>
    </xf>
    <xf numFmtId="10" fontId="7" fillId="2" borderId="0" xfId="5" applyNumberFormat="1" applyFont="1" applyFill="1" applyBorder="1" applyProtection="1"/>
    <xf numFmtId="0" fontId="8" fillId="5" borderId="9" xfId="3" applyFont="1" applyFill="1" applyBorder="1" applyAlignment="1" applyProtection="1">
      <alignment horizontal="left"/>
      <protection locked="0"/>
    </xf>
    <xf numFmtId="0" fontId="7" fillId="2" borderId="0" xfId="3" applyFont="1" applyFill="1" applyBorder="1"/>
    <xf numFmtId="0" fontId="8" fillId="5" borderId="5" xfId="3" applyFont="1" applyFill="1" applyBorder="1" applyAlignment="1" applyProtection="1">
      <alignment horizontal="left"/>
      <protection locked="0"/>
    </xf>
    <xf numFmtId="0" fontId="8" fillId="3" borderId="6" xfId="3" applyFont="1" applyFill="1" applyBorder="1" applyAlignment="1" applyProtection="1">
      <alignment horizontal="center"/>
      <protection locked="0"/>
    </xf>
    <xf numFmtId="167" fontId="8" fillId="3" borderId="6" xfId="3" applyNumberFormat="1" applyFont="1" applyFill="1" applyBorder="1" applyAlignment="1" applyProtection="1">
      <alignment horizontal="center"/>
      <protection locked="0"/>
    </xf>
    <xf numFmtId="169" fontId="7" fillId="2" borderId="0" xfId="3" applyNumberFormat="1" applyFont="1" applyFill="1" applyBorder="1" applyAlignment="1" applyProtection="1">
      <alignment horizontal="center"/>
    </xf>
    <xf numFmtId="169" fontId="7" fillId="2" borderId="5" xfId="3" applyNumberFormat="1" applyFont="1" applyFill="1" applyBorder="1" applyAlignment="1" applyProtection="1">
      <alignment horizontal="center"/>
    </xf>
    <xf numFmtId="0" fontId="7" fillId="2" borderId="4" xfId="3" applyFont="1" applyFill="1" applyBorder="1" applyAlignment="1" applyProtection="1">
      <alignment horizontal="left"/>
    </xf>
    <xf numFmtId="169" fontId="7" fillId="2" borderId="0" xfId="3" applyNumberFormat="1" applyFont="1" applyFill="1" applyBorder="1" applyProtection="1"/>
    <xf numFmtId="167" fontId="7" fillId="2" borderId="0" xfId="3" applyNumberFormat="1" applyFont="1" applyFill="1" applyBorder="1" applyProtection="1"/>
    <xf numFmtId="0" fontId="7" fillId="2" borderId="5" xfId="3" applyFont="1" applyFill="1" applyBorder="1"/>
    <xf numFmtId="0" fontId="8" fillId="5" borderId="8" xfId="3" applyFont="1" applyFill="1" applyBorder="1" applyAlignment="1" applyProtection="1">
      <alignment horizontal="left"/>
      <protection locked="0"/>
    </xf>
    <xf numFmtId="0" fontId="8" fillId="2" borderId="8" xfId="3" applyFont="1" applyFill="1" applyBorder="1"/>
    <xf numFmtId="169" fontId="10" fillId="2" borderId="0" xfId="5" applyNumberFormat="1" applyFont="1" applyFill="1" applyBorder="1" applyAlignment="1" applyProtection="1">
      <alignment horizontal="center"/>
    </xf>
    <xf numFmtId="168" fontId="7" fillId="2" borderId="0" xfId="5" applyNumberFormat="1" applyFont="1" applyFill="1" applyBorder="1" applyProtection="1"/>
    <xf numFmtId="169" fontId="10" fillId="2" borderId="0" xfId="5" applyNumberFormat="1" applyFont="1" applyFill="1" applyBorder="1" applyProtection="1"/>
    <xf numFmtId="0" fontId="10" fillId="2" borderId="0" xfId="5" applyFont="1" applyFill="1" applyBorder="1" applyProtection="1"/>
    <xf numFmtId="166" fontId="7" fillId="2" borderId="5" xfId="5" applyNumberFormat="1" applyFont="1" applyFill="1" applyBorder="1" applyProtection="1"/>
    <xf numFmtId="9" fontId="7" fillId="2" borderId="0" xfId="5" applyNumberFormat="1" applyFont="1" applyFill="1" applyBorder="1" applyAlignment="1" applyProtection="1">
      <alignment horizontal="center"/>
    </xf>
    <xf numFmtId="0" fontId="8" fillId="5" borderId="0" xfId="5" applyFont="1" applyFill="1" applyBorder="1" applyAlignment="1" applyProtection="1">
      <alignment horizontal="center"/>
      <protection locked="0"/>
    </xf>
    <xf numFmtId="0" fontId="9" fillId="5" borderId="0" xfId="0" applyFont="1" applyFill="1" applyBorder="1" applyAlignment="1" applyProtection="1"/>
    <xf numFmtId="0" fontId="9" fillId="5" borderId="0" xfId="0" applyFont="1" applyFill="1" applyBorder="1" applyAlignment="1" applyProtection="1">
      <alignment horizontal="right"/>
    </xf>
    <xf numFmtId="0" fontId="9" fillId="5" borderId="0" xfId="0" applyFont="1" applyFill="1" applyBorder="1" applyAlignment="1" applyProtection="1">
      <alignment horizontal="left"/>
    </xf>
    <xf numFmtId="0" fontId="7" fillId="2" borderId="0" xfId="6" applyFont="1" applyFill="1" applyBorder="1" applyProtection="1"/>
    <xf numFmtId="167" fontId="9" fillId="5" borderId="5" xfId="0" applyNumberFormat="1" applyFont="1" applyFill="1" applyBorder="1" applyAlignment="1" applyProtection="1">
      <alignment horizontal="center"/>
    </xf>
    <xf numFmtId="166" fontId="7" fillId="2" borderId="5" xfId="5" applyNumberFormat="1" applyFont="1" applyFill="1" applyBorder="1" applyAlignment="1" applyProtection="1">
      <alignment horizontal="left"/>
    </xf>
    <xf numFmtId="0" fontId="7" fillId="2" borderId="0" xfId="5" applyFont="1" applyFill="1" applyBorder="1" applyAlignment="1">
      <alignment horizontal="center"/>
    </xf>
    <xf numFmtId="0" fontId="11" fillId="0" borderId="1" xfId="0" applyFont="1" applyBorder="1"/>
    <xf numFmtId="0" fontId="7" fillId="4" borderId="2" xfId="0" applyFont="1" applyFill="1" applyBorder="1" applyAlignment="1" applyProtection="1">
      <alignment horizontal="fill"/>
    </xf>
    <xf numFmtId="0" fontId="7" fillId="4" borderId="3" xfId="0" applyFont="1" applyFill="1" applyBorder="1" applyAlignment="1" applyProtection="1">
      <alignment horizontal="fill"/>
    </xf>
    <xf numFmtId="0" fontId="7" fillId="4" borderId="4" xfId="0" quotePrefix="1" applyFont="1" applyFill="1" applyBorder="1" applyAlignment="1">
      <alignment horizontal="left"/>
    </xf>
    <xf numFmtId="0" fontId="7" fillId="4" borderId="0" xfId="0" applyFont="1" applyFill="1" applyBorder="1"/>
    <xf numFmtId="0" fontId="7" fillId="4" borderId="4" xfId="0" quotePrefix="1" applyFont="1" applyFill="1" applyBorder="1" applyAlignment="1">
      <alignment horizontal="center"/>
    </xf>
    <xf numFmtId="0" fontId="7" fillId="4" borderId="5" xfId="0" applyFont="1" applyFill="1" applyBorder="1"/>
    <xf numFmtId="0" fontId="7" fillId="4" borderId="4" xfId="0" applyFont="1" applyFill="1" applyBorder="1"/>
    <xf numFmtId="0" fontId="7" fillId="4" borderId="4" xfId="0" quotePrefix="1" applyFont="1" applyFill="1" applyBorder="1" applyAlignment="1" applyProtection="1">
      <alignment horizontal="center"/>
    </xf>
    <xf numFmtId="9" fontId="7" fillId="4" borderId="0" xfId="0" applyNumberFormat="1" applyFont="1" applyFill="1" applyBorder="1" applyProtection="1"/>
    <xf numFmtId="0" fontId="11" fillId="0" borderId="4" xfId="0" applyFont="1" applyBorder="1"/>
    <xf numFmtId="0" fontId="12" fillId="4" borderId="4" xfId="1" applyFont="1" applyFill="1" applyBorder="1" applyAlignment="1" applyProtection="1">
      <alignment horizontal="center"/>
    </xf>
    <xf numFmtId="0" fontId="7" fillId="4" borderId="4" xfId="0" applyFont="1" applyFill="1" applyBorder="1" applyAlignment="1" applyProtection="1">
      <alignment horizontal="center"/>
    </xf>
    <xf numFmtId="0" fontId="7" fillId="4" borderId="11" xfId="0" applyFont="1" applyFill="1" applyBorder="1"/>
    <xf numFmtId="0" fontId="7" fillId="4" borderId="8" xfId="0" applyFont="1" applyFill="1" applyBorder="1"/>
    <xf numFmtId="9" fontId="7" fillId="4" borderId="8" xfId="0" applyNumberFormat="1" applyFont="1" applyFill="1" applyBorder="1" applyProtection="1"/>
    <xf numFmtId="169" fontId="7" fillId="4" borderId="8" xfId="0" applyNumberFormat="1" applyFont="1" applyFill="1" applyBorder="1" applyProtection="1"/>
    <xf numFmtId="169" fontId="7" fillId="4" borderId="12" xfId="0" applyNumberFormat="1" applyFont="1" applyFill="1" applyBorder="1" applyProtection="1"/>
    <xf numFmtId="0" fontId="9" fillId="0" borderId="0" xfId="7" applyFont="1"/>
    <xf numFmtId="0" fontId="13" fillId="0" borderId="8" xfId="1" applyFont="1" applyFill="1" applyBorder="1" applyAlignment="1" applyProtection="1">
      <alignment horizontal="center"/>
    </xf>
    <xf numFmtId="0" fontId="7" fillId="4" borderId="0" xfId="8" applyFont="1" applyFill="1" applyBorder="1" applyProtection="1"/>
    <xf numFmtId="0" fontId="3" fillId="4" borderId="0" xfId="8" applyFont="1" applyFill="1" applyBorder="1"/>
    <xf numFmtId="0" fontId="3" fillId="4" borderId="0" xfId="8" applyFont="1" applyFill="1" applyBorder="1" applyProtection="1"/>
    <xf numFmtId="167" fontId="3" fillId="4" borderId="0" xfId="8" applyNumberFormat="1" applyFont="1" applyFill="1" applyBorder="1" applyProtection="1"/>
    <xf numFmtId="0" fontId="9" fillId="2" borderId="0" xfId="5" applyFont="1" applyFill="1" applyBorder="1" applyAlignment="1" applyProtection="1">
      <alignment horizontal="center"/>
    </xf>
    <xf numFmtId="169" fontId="9" fillId="2" borderId="0" xfId="5" applyNumberFormat="1" applyFont="1" applyFill="1" applyBorder="1" applyAlignment="1" applyProtection="1">
      <alignment horizontal="center"/>
    </xf>
  </cellXfs>
  <cellStyles count="9">
    <cellStyle name="Hyperlink" xfId="1" builtinId="8"/>
    <cellStyle name="Normal" xfId="0" builtinId="0"/>
    <cellStyle name="Normal_APPLE" xfId="2" xr:uid="{00000000-0005-0000-0000-000002000000}"/>
    <cellStyle name="Normal_Bplum" xfId="3" xr:uid="{00000000-0005-0000-0000-000003000000}"/>
    <cellStyle name="Normal_Corn2" xfId="4" xr:uid="{00000000-0005-0000-0000-000004000000}"/>
    <cellStyle name="Normal_Nectrin" xfId="5" xr:uid="{00000000-0005-0000-0000-000005000000}"/>
    <cellStyle name="Normal_Oats" xfId="8" xr:uid="{4DE7CCEE-0EE8-40E3-85C1-999CBB9E310A}"/>
    <cellStyle name="Normal_PrPeach" xfId="6" xr:uid="{00000000-0005-0000-0000-000006000000}"/>
    <cellStyle name="Normal_Raspc2" xfId="7" xr:uid="{00000000-0005-0000-0000-000007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57150</xdr:rowOff>
    </xdr:from>
    <xdr:to>
      <xdr:col>1</xdr:col>
      <xdr:colOff>732003</xdr:colOff>
      <xdr:row>2</xdr:row>
      <xdr:rowOff>274818</xdr:rowOff>
    </xdr:to>
    <xdr:pic>
      <xdr:nvPicPr>
        <xdr:cNvPr id="3" name="Picture 2" descr="This is the Ontario Trillium logo">
          <a:extLst>
            <a:ext uri="{FF2B5EF4-FFF2-40B4-BE49-F238E27FC236}">
              <a16:creationId xmlns:a16="http://schemas.microsoft.com/office/drawing/2014/main" id="{F6E053B5-D152-4947-9957-FA4AF7A16C95}"/>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5717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A303"/>
  <sheetViews>
    <sheetView showGridLines="0" tabSelected="1" topLeftCell="B1" zoomScaleNormal="100" zoomScaleSheetLayoutView="100" workbookViewId="0">
      <selection activeCell="G94" sqref="G94"/>
    </sheetView>
  </sheetViews>
  <sheetFormatPr defaultColWidth="11.15234375" defaultRowHeight="10.75" x14ac:dyDescent="0.25"/>
  <cols>
    <col min="1" max="7" width="15.69140625" style="2" customWidth="1"/>
    <col min="8" max="8" width="17.53515625" style="2" customWidth="1"/>
    <col min="9" max="9" width="12.3828125" style="2" hidden="1" customWidth="1"/>
    <col min="10" max="12" width="11" style="2" hidden="1" customWidth="1"/>
    <col min="13" max="18" width="11.15234375" style="2" hidden="1" customWidth="1"/>
    <col min="19" max="19" width="8.84375" style="2" hidden="1" customWidth="1"/>
    <col min="20" max="20" width="3.15234375" style="2" hidden="1" customWidth="1"/>
    <col min="21" max="21" width="19.15234375" style="2" hidden="1" customWidth="1"/>
    <col min="22" max="27" width="11.15234375" style="2" hidden="1" customWidth="1"/>
    <col min="28" max="40" width="11.15234375" style="2"/>
    <col min="41" max="41" width="13.3828125" style="2" customWidth="1"/>
    <col min="42" max="49" width="8.84375" style="2" customWidth="1"/>
    <col min="50" max="50" width="6.53515625" style="2" customWidth="1"/>
    <col min="51" max="240" width="11.15234375" style="2"/>
    <col min="241" max="241" width="8.84375" style="2" customWidth="1"/>
    <col min="242" max="242" width="3.15234375" style="2" customWidth="1"/>
    <col min="243" max="249" width="11.15234375" style="2"/>
    <col min="250" max="250" width="8.84375" style="2" customWidth="1"/>
    <col min="251" max="251" width="3.15234375" style="2" customWidth="1"/>
    <col min="252" max="16384" width="11.15234375" style="2"/>
  </cols>
  <sheetData>
    <row r="1" spans="1:27" ht="15.45" x14ac:dyDescent="0.4">
      <c r="A1" s="115" t="s">
        <v>142</v>
      </c>
    </row>
    <row r="2" spans="1:27" ht="15.45" x14ac:dyDescent="0.4">
      <c r="A2" s="21"/>
      <c r="B2" s="22"/>
      <c r="C2" s="23" t="s">
        <v>0</v>
      </c>
      <c r="D2" s="24"/>
      <c r="E2" s="24"/>
      <c r="F2" s="24"/>
      <c r="G2" s="23" t="s">
        <v>147</v>
      </c>
      <c r="H2" s="25"/>
      <c r="I2" s="1"/>
      <c r="J2" s="1"/>
      <c r="K2" s="1"/>
      <c r="L2" s="1"/>
      <c r="AA2" s="3">
        <f ca="1">E98</f>
        <v>8639.01</v>
      </c>
    </row>
    <row r="3" spans="1:27" ht="22.5" customHeight="1" x14ac:dyDescent="0.4">
      <c r="A3" s="26">
        <v>806</v>
      </c>
      <c r="B3" s="27"/>
      <c r="C3" s="27"/>
      <c r="D3" s="28"/>
      <c r="E3" s="27"/>
      <c r="F3" s="29" t="s">
        <v>130</v>
      </c>
      <c r="G3" s="27"/>
      <c r="H3" s="30">
        <f ca="1">AA2</f>
        <v>8639.01</v>
      </c>
      <c r="I3" s="1"/>
      <c r="J3" s="1"/>
      <c r="K3" s="1"/>
      <c r="L3" s="1"/>
      <c r="AA3" s="2">
        <f>C8*D4</f>
        <v>10</v>
      </c>
    </row>
    <row r="4" spans="1:27" ht="15.45" x14ac:dyDescent="0.4">
      <c r="A4" s="31"/>
      <c r="B4" s="29" t="s">
        <v>1</v>
      </c>
      <c r="C4" s="27"/>
      <c r="D4" s="32">
        <v>1</v>
      </c>
      <c r="E4" s="27"/>
      <c r="F4" s="29" t="s">
        <v>2</v>
      </c>
      <c r="G4" s="33">
        <v>1.1023099999999999</v>
      </c>
      <c r="H4" s="34" t="s">
        <v>3</v>
      </c>
      <c r="I4" s="1"/>
      <c r="J4" s="1"/>
      <c r="K4" s="1"/>
      <c r="L4" s="1"/>
      <c r="AA4" s="2">
        <f>E8*D4</f>
        <v>9</v>
      </c>
    </row>
    <row r="5" spans="1:27" ht="15.45" x14ac:dyDescent="0.4">
      <c r="A5" s="31"/>
      <c r="B5" s="27"/>
      <c r="C5" s="27"/>
      <c r="D5" s="27"/>
      <c r="E5" s="27"/>
      <c r="F5" s="27"/>
      <c r="G5" s="27"/>
      <c r="H5" s="35"/>
      <c r="I5" s="1"/>
      <c r="J5" s="1"/>
      <c r="K5" s="1"/>
      <c r="L5" s="1"/>
      <c r="AA5" s="2">
        <f>G8*D4</f>
        <v>6</v>
      </c>
    </row>
    <row r="6" spans="1:27" ht="15.45" x14ac:dyDescent="0.4">
      <c r="A6" s="36" t="s">
        <v>122</v>
      </c>
      <c r="B6" s="37"/>
      <c r="C6" s="37"/>
      <c r="D6" s="37"/>
      <c r="E6" s="37"/>
      <c r="F6" s="37"/>
      <c r="G6" s="37"/>
      <c r="H6" s="38"/>
      <c r="I6" s="1"/>
      <c r="J6" s="1"/>
      <c r="K6" s="1"/>
      <c r="L6" s="1"/>
      <c r="AA6" s="2">
        <f>E8*D14</f>
        <v>7.6499999999999995</v>
      </c>
    </row>
    <row r="7" spans="1:27" ht="15.45" x14ac:dyDescent="0.4">
      <c r="A7" s="39"/>
      <c r="B7" s="40"/>
      <c r="C7" s="41" t="s">
        <v>123</v>
      </c>
      <c r="D7" s="42"/>
      <c r="E7" s="41" t="s">
        <v>124</v>
      </c>
      <c r="F7" s="42"/>
      <c r="G7" s="41" t="s">
        <v>125</v>
      </c>
      <c r="H7" s="35"/>
      <c r="I7" s="1"/>
      <c r="J7" s="1"/>
      <c r="K7" s="1"/>
      <c r="L7" s="1"/>
      <c r="AA7" s="3">
        <f>F92</f>
        <v>0</v>
      </c>
    </row>
    <row r="8" spans="1:27" ht="15.45" x14ac:dyDescent="0.4">
      <c r="A8" s="43" t="s">
        <v>4</v>
      </c>
      <c r="B8" s="27"/>
      <c r="C8" s="44">
        <v>10</v>
      </c>
      <c r="D8" s="27"/>
      <c r="E8" s="44">
        <v>9</v>
      </c>
      <c r="F8" s="27"/>
      <c r="G8" s="44">
        <v>6</v>
      </c>
      <c r="H8" s="35"/>
      <c r="I8" s="1"/>
      <c r="J8" s="1"/>
      <c r="K8" s="1"/>
      <c r="L8" s="1"/>
      <c r="AA8" s="2">
        <f>IF(D18&lt;0.0001,0.0001,IF(D18&gt;1,1,D18))</f>
        <v>0.24983864982627774</v>
      </c>
    </row>
    <row r="9" spans="1:27" ht="15.45" x14ac:dyDescent="0.4">
      <c r="A9" s="43" t="s">
        <v>5</v>
      </c>
      <c r="B9" s="27"/>
      <c r="C9" s="45">
        <v>2665</v>
      </c>
      <c r="D9" s="27"/>
      <c r="E9" s="45">
        <v>2537</v>
      </c>
      <c r="F9" s="27"/>
      <c r="G9" s="45">
        <v>1935</v>
      </c>
      <c r="H9" s="35"/>
      <c r="I9" s="1"/>
      <c r="J9" s="1"/>
      <c r="K9" s="1"/>
      <c r="L9" s="1"/>
      <c r="AA9" s="3">
        <f ca="1">H77</f>
        <v>11842.99</v>
      </c>
    </row>
    <row r="10" spans="1:27" ht="15.45" x14ac:dyDescent="0.4">
      <c r="A10" s="43" t="s">
        <v>6</v>
      </c>
      <c r="B10" s="27"/>
      <c r="C10" s="46">
        <f>AA3</f>
        <v>10</v>
      </c>
      <c r="D10" s="27"/>
      <c r="E10" s="46">
        <f>AA4</f>
        <v>9</v>
      </c>
      <c r="F10" s="27"/>
      <c r="G10" s="46">
        <f>AA5</f>
        <v>6</v>
      </c>
      <c r="H10" s="35"/>
      <c r="I10" s="1"/>
      <c r="J10" s="1"/>
      <c r="K10" s="1"/>
      <c r="L10" s="1"/>
      <c r="AA10" s="2">
        <f>E9*(D18*(D15-E8)+((C8-G8)/2)*EXP(-0.5*((D15-E8)/((C8-G8)/2))^2)/SQRT(2*PI()))</f>
        <v>756.15841152215171</v>
      </c>
    </row>
    <row r="11" spans="1:27" ht="15.45" x14ac:dyDescent="0.4">
      <c r="A11" s="38"/>
      <c r="B11" s="38"/>
      <c r="C11" s="38"/>
      <c r="D11" s="38"/>
      <c r="E11" s="38"/>
      <c r="F11" s="38"/>
      <c r="G11" s="38"/>
      <c r="H11" s="38"/>
      <c r="I11" s="1"/>
      <c r="J11" s="1"/>
      <c r="K11" s="1"/>
      <c r="L11" s="1"/>
      <c r="AA11" s="3">
        <f ca="1">H87</f>
        <v>2351</v>
      </c>
    </row>
    <row r="12" spans="1:27" ht="15.45" x14ac:dyDescent="0.4">
      <c r="A12" s="43" t="s">
        <v>7</v>
      </c>
      <c r="B12" s="27"/>
      <c r="C12" s="47"/>
      <c r="D12" s="47"/>
      <c r="E12" s="47"/>
      <c r="F12" s="48"/>
      <c r="G12" s="47"/>
      <c r="H12" s="49"/>
      <c r="I12" s="1"/>
      <c r="J12" s="1"/>
      <c r="K12" s="1"/>
      <c r="L12" s="1"/>
      <c r="AA12" s="2">
        <f>(EXP(-0.5*((E8-D15)/((C8-G8)/2))^2)/SQRT(2*PI()))*(0.43618*(K33^-1)-0.1202*(K33^-2)+0.9373*(K33^-3))</f>
        <v>0.24983864982627774</v>
      </c>
    </row>
    <row r="13" spans="1:27" ht="15.45" x14ac:dyDescent="0.4">
      <c r="A13" s="43" t="s">
        <v>8</v>
      </c>
      <c r="B13" s="27"/>
      <c r="C13" s="47"/>
      <c r="D13" s="45">
        <v>1002</v>
      </c>
      <c r="E13" s="27"/>
      <c r="F13" s="48"/>
      <c r="G13" s="50"/>
      <c r="H13" s="51"/>
      <c r="I13" s="1"/>
      <c r="J13" s="1"/>
      <c r="K13" s="4"/>
      <c r="L13" s="1"/>
      <c r="AA13" s="3">
        <f>F91</f>
        <v>22833</v>
      </c>
    </row>
    <row r="14" spans="1:27" ht="15.45" x14ac:dyDescent="0.4">
      <c r="A14" s="43" t="s">
        <v>9</v>
      </c>
      <c r="B14" s="27"/>
      <c r="C14" s="33"/>
      <c r="D14" s="52">
        <v>0.85</v>
      </c>
      <c r="E14" s="33"/>
      <c r="F14" s="48"/>
      <c r="G14" s="33"/>
      <c r="H14" s="51"/>
      <c r="I14" s="1"/>
      <c r="J14" s="1"/>
      <c r="K14" s="4">
        <v>0</v>
      </c>
      <c r="L14" s="1"/>
      <c r="AA14" s="2">
        <f>D4*I115</f>
        <v>8161.8741916496756</v>
      </c>
    </row>
    <row r="15" spans="1:27" ht="15.45" x14ac:dyDescent="0.4">
      <c r="A15" s="43" t="s">
        <v>10</v>
      </c>
      <c r="B15" s="27"/>
      <c r="C15" s="33"/>
      <c r="D15" s="53">
        <f>AA6</f>
        <v>7.6499999999999995</v>
      </c>
      <c r="E15" s="33"/>
      <c r="F15" s="48"/>
      <c r="G15" s="33"/>
      <c r="H15" s="54"/>
      <c r="I15" s="1"/>
      <c r="J15" s="1"/>
      <c r="K15" s="5">
        <f>AA7</f>
        <v>0</v>
      </c>
      <c r="L15" s="1"/>
      <c r="AA15" s="2">
        <f>D4*E8/G4</f>
        <v>8.1646723698415151</v>
      </c>
    </row>
    <row r="16" spans="1:27" ht="15.45" x14ac:dyDescent="0.4">
      <c r="A16" s="43" t="s">
        <v>11</v>
      </c>
      <c r="B16" s="33"/>
      <c r="C16" s="33"/>
      <c r="D16" s="55">
        <f>AA8</f>
        <v>0.24983864982627774</v>
      </c>
      <c r="E16" s="33"/>
      <c r="F16" s="33"/>
      <c r="G16" s="33"/>
      <c r="H16" s="49"/>
      <c r="I16" s="1"/>
      <c r="J16" s="1"/>
      <c r="K16" s="5">
        <f ca="1">AA9</f>
        <v>11842.99</v>
      </c>
      <c r="L16" s="1"/>
      <c r="AA16" s="2">
        <f>E9*G4</f>
        <v>2796.5604699999999</v>
      </c>
    </row>
    <row r="17" spans="1:27" ht="15.45" x14ac:dyDescent="0.4">
      <c r="A17" s="43" t="s">
        <v>12</v>
      </c>
      <c r="B17" s="27"/>
      <c r="C17" s="27"/>
      <c r="D17" s="56">
        <f>AA10</f>
        <v>756.15841152215171</v>
      </c>
      <c r="E17" s="33"/>
      <c r="F17" s="33"/>
      <c r="G17" s="57"/>
      <c r="H17" s="51"/>
      <c r="I17" s="1"/>
      <c r="J17" s="1"/>
      <c r="K17" s="5">
        <f ca="1">AA11</f>
        <v>2351</v>
      </c>
      <c r="L17" s="1"/>
      <c r="AA17" s="2">
        <f>D4</f>
        <v>1</v>
      </c>
    </row>
    <row r="18" spans="1:27" ht="15.45" x14ac:dyDescent="0.4">
      <c r="A18" s="43"/>
      <c r="B18" s="27"/>
      <c r="C18" s="27"/>
      <c r="D18" s="58">
        <f>AA12</f>
        <v>0.24983864982627774</v>
      </c>
      <c r="E18" s="33"/>
      <c r="F18" s="27"/>
      <c r="G18" s="27"/>
      <c r="H18" s="59"/>
      <c r="I18" s="1"/>
      <c r="J18" s="1"/>
      <c r="K18" s="5">
        <f>AA13</f>
        <v>22833</v>
      </c>
      <c r="L18" s="1"/>
      <c r="AA18" s="2">
        <f>F24*E24</f>
        <v>3444.19</v>
      </c>
    </row>
    <row r="19" spans="1:27" ht="15.45" x14ac:dyDescent="0.4">
      <c r="A19" s="43" t="s">
        <v>13</v>
      </c>
      <c r="B19" s="27"/>
      <c r="C19" s="27"/>
      <c r="D19" s="60" t="s">
        <v>145</v>
      </c>
      <c r="E19" s="33"/>
      <c r="F19" s="27"/>
      <c r="G19" s="27"/>
      <c r="H19" s="59"/>
      <c r="I19" s="1"/>
      <c r="J19" s="1"/>
      <c r="K19" s="6">
        <f>AA14</f>
        <v>8161.8741916496756</v>
      </c>
      <c r="L19" s="1"/>
      <c r="AA19" s="2">
        <f>G24*D4</f>
        <v>3444.19</v>
      </c>
    </row>
    <row r="20" spans="1:27" ht="15.45" x14ac:dyDescent="0.4">
      <c r="A20" s="38"/>
      <c r="B20" s="38"/>
      <c r="C20" s="38"/>
      <c r="D20" s="38"/>
      <c r="E20" s="38"/>
      <c r="F20" s="38"/>
      <c r="G20" s="38"/>
      <c r="H20" s="38"/>
      <c r="I20" s="1"/>
      <c r="J20" s="1"/>
      <c r="K20" s="6">
        <f>AA15</f>
        <v>8.1646723698415151</v>
      </c>
      <c r="L20" s="1"/>
      <c r="AA20" s="3">
        <f>H55</f>
        <v>24</v>
      </c>
    </row>
    <row r="21" spans="1:27" ht="15.45" x14ac:dyDescent="0.4">
      <c r="A21" s="61"/>
      <c r="B21" s="27"/>
      <c r="C21" s="27"/>
      <c r="D21" s="62" t="s">
        <v>14</v>
      </c>
      <c r="E21" s="62" t="s">
        <v>15</v>
      </c>
      <c r="F21" s="62" t="s">
        <v>16</v>
      </c>
      <c r="G21" s="62" t="s">
        <v>17</v>
      </c>
      <c r="H21" s="63" t="s">
        <v>18</v>
      </c>
      <c r="I21" s="1"/>
      <c r="J21" s="1"/>
      <c r="K21" s="6">
        <f>AA16</f>
        <v>2796.5604699999999</v>
      </c>
      <c r="L21" s="1"/>
      <c r="AA21" s="2">
        <f>F25*E25</f>
        <v>822.8</v>
      </c>
    </row>
    <row r="22" spans="1:27" ht="15.45" x14ac:dyDescent="0.4">
      <c r="A22" s="43" t="s">
        <v>19</v>
      </c>
      <c r="B22" s="27"/>
      <c r="C22" s="27"/>
      <c r="D22" s="62" t="s">
        <v>20</v>
      </c>
      <c r="E22" s="62" t="s">
        <v>21</v>
      </c>
      <c r="F22" s="62" t="s">
        <v>22</v>
      </c>
      <c r="G22" s="62" t="s">
        <v>23</v>
      </c>
      <c r="H22" s="63" t="s">
        <v>24</v>
      </c>
      <c r="I22" s="1"/>
      <c r="J22" s="1"/>
      <c r="K22" s="7" t="s">
        <v>25</v>
      </c>
      <c r="L22" s="1"/>
      <c r="AA22" s="2">
        <f>G25*D4</f>
        <v>822.8</v>
      </c>
    </row>
    <row r="23" spans="1:27" ht="15.45" x14ac:dyDescent="0.4">
      <c r="A23" s="43" t="s">
        <v>26</v>
      </c>
      <c r="B23" s="27"/>
      <c r="C23" s="27"/>
      <c r="D23" s="48"/>
      <c r="E23" s="33"/>
      <c r="F23" s="47"/>
      <c r="G23" s="57"/>
      <c r="H23" s="64"/>
      <c r="I23" s="1"/>
      <c r="J23" s="1"/>
      <c r="K23" s="6">
        <f>AA17</f>
        <v>1</v>
      </c>
      <c r="L23" s="1"/>
      <c r="AA23" s="3">
        <f>SUM(H26:H32)+H54</f>
        <v>255</v>
      </c>
    </row>
    <row r="24" spans="1:27" ht="15.45" x14ac:dyDescent="0.4">
      <c r="A24" s="43" t="s">
        <v>27</v>
      </c>
      <c r="B24" s="27"/>
      <c r="C24" s="27"/>
      <c r="D24" s="65" t="s">
        <v>28</v>
      </c>
      <c r="E24" s="32">
        <v>163</v>
      </c>
      <c r="F24" s="45">
        <v>21.13</v>
      </c>
      <c r="G24" s="46">
        <f>AA18</f>
        <v>3444.19</v>
      </c>
      <c r="H24" s="66">
        <f>AA19</f>
        <v>3444.19</v>
      </c>
      <c r="I24" s="1"/>
      <c r="J24" s="1"/>
      <c r="K24" s="5">
        <f>AA20</f>
        <v>24</v>
      </c>
      <c r="L24" s="1"/>
      <c r="AA24" s="3">
        <f>SUM(H36:H51)</f>
        <v>624</v>
      </c>
    </row>
    <row r="25" spans="1:27" ht="15.45" x14ac:dyDescent="0.4">
      <c r="A25" s="43" t="s">
        <v>29</v>
      </c>
      <c r="B25" s="27"/>
      <c r="C25" s="33"/>
      <c r="D25" s="65" t="s">
        <v>28</v>
      </c>
      <c r="E25" s="32">
        <v>34</v>
      </c>
      <c r="F25" s="45">
        <v>24.2</v>
      </c>
      <c r="G25" s="46">
        <f>AA21</f>
        <v>822.8</v>
      </c>
      <c r="H25" s="66">
        <f>AA22</f>
        <v>822.8</v>
      </c>
      <c r="I25" s="1"/>
      <c r="J25" s="1"/>
      <c r="K25" s="5">
        <f>AA23</f>
        <v>255</v>
      </c>
      <c r="L25" s="1"/>
      <c r="AA25" s="2">
        <f>F27*E27</f>
        <v>154</v>
      </c>
    </row>
    <row r="26" spans="1:27" ht="15.45" x14ac:dyDescent="0.4">
      <c r="A26" s="43" t="s">
        <v>30</v>
      </c>
      <c r="B26" s="33"/>
      <c r="C26" s="33"/>
      <c r="D26" s="33"/>
      <c r="E26" s="33"/>
      <c r="F26" s="33"/>
      <c r="G26" s="33"/>
      <c r="H26" s="49"/>
      <c r="I26" s="1"/>
      <c r="J26" s="1"/>
      <c r="K26" s="5">
        <f>AA24</f>
        <v>624</v>
      </c>
      <c r="L26" s="1"/>
      <c r="AA26" s="2">
        <f>G27*D4</f>
        <v>154</v>
      </c>
    </row>
    <row r="27" spans="1:27" ht="15.45" x14ac:dyDescent="0.4">
      <c r="A27" s="43" t="s">
        <v>31</v>
      </c>
      <c r="B27" s="67" t="s">
        <v>117</v>
      </c>
      <c r="C27" s="47"/>
      <c r="D27" s="65" t="s">
        <v>32</v>
      </c>
      <c r="E27" s="32">
        <v>125</v>
      </c>
      <c r="F27" s="68">
        <v>1.232</v>
      </c>
      <c r="G27" s="46">
        <f>AA25</f>
        <v>154</v>
      </c>
      <c r="H27" s="66">
        <f>AA26</f>
        <v>154</v>
      </c>
      <c r="I27" s="1"/>
      <c r="J27" s="1"/>
      <c r="K27" s="5">
        <f>AA27</f>
        <v>5640.99</v>
      </c>
      <c r="L27" s="1"/>
      <c r="AA27" s="3">
        <f>SUM(H24:H25,H58:H60)+H57</f>
        <v>5640.99</v>
      </c>
    </row>
    <row r="28" spans="1:27" ht="15.45" x14ac:dyDescent="0.4">
      <c r="A28" s="43" t="s">
        <v>33</v>
      </c>
      <c r="B28" s="65" t="s">
        <v>34</v>
      </c>
      <c r="C28" s="33"/>
      <c r="D28" s="65" t="s">
        <v>32</v>
      </c>
      <c r="E28" s="32">
        <v>100</v>
      </c>
      <c r="F28" s="68">
        <v>1.01</v>
      </c>
      <c r="G28" s="46">
        <f>AA28</f>
        <v>101</v>
      </c>
      <c r="H28" s="66">
        <f>AA29</f>
        <v>101</v>
      </c>
      <c r="I28" s="1"/>
      <c r="J28" s="1"/>
      <c r="K28" s="5">
        <f>AA30</f>
        <v>100</v>
      </c>
      <c r="L28" s="1"/>
      <c r="AA28" s="2">
        <f>F28*E28</f>
        <v>101</v>
      </c>
    </row>
    <row r="29" spans="1:27" ht="15.45" x14ac:dyDescent="0.4">
      <c r="A29" s="43" t="s">
        <v>35</v>
      </c>
      <c r="B29" s="67" t="s">
        <v>36</v>
      </c>
      <c r="C29" s="47"/>
      <c r="D29" s="65" t="s">
        <v>32</v>
      </c>
      <c r="E29" s="32">
        <v>0</v>
      </c>
      <c r="F29" s="68">
        <v>0</v>
      </c>
      <c r="G29" s="46">
        <f>AA31</f>
        <v>0</v>
      </c>
      <c r="H29" s="66">
        <f>AA32</f>
        <v>0</v>
      </c>
      <c r="I29" s="1"/>
      <c r="J29" s="1"/>
      <c r="K29" s="5">
        <f>AA33</f>
        <v>3266</v>
      </c>
      <c r="L29" s="1"/>
      <c r="AA29" s="2">
        <f>G28*D4</f>
        <v>101</v>
      </c>
    </row>
    <row r="30" spans="1:27" ht="15.45" x14ac:dyDescent="0.4">
      <c r="A30" s="43" t="s">
        <v>37</v>
      </c>
      <c r="B30" s="67" t="s">
        <v>36</v>
      </c>
      <c r="C30" s="47"/>
      <c r="D30" s="65" t="s">
        <v>32</v>
      </c>
      <c r="E30" s="32">
        <v>0</v>
      </c>
      <c r="F30" s="68">
        <v>0</v>
      </c>
      <c r="G30" s="46">
        <f>AA34</f>
        <v>0</v>
      </c>
      <c r="H30" s="66">
        <f>AA35</f>
        <v>0</v>
      </c>
      <c r="I30" s="1"/>
      <c r="J30" s="1"/>
      <c r="K30" s="1"/>
      <c r="L30" s="1"/>
      <c r="AA30" s="3">
        <f>H56</f>
        <v>100</v>
      </c>
    </row>
    <row r="31" spans="1:27" ht="15.45" x14ac:dyDescent="0.4">
      <c r="A31" s="43" t="s">
        <v>38</v>
      </c>
      <c r="B31" s="67" t="s">
        <v>36</v>
      </c>
      <c r="C31" s="47"/>
      <c r="D31" s="65" t="s">
        <v>32</v>
      </c>
      <c r="E31" s="32">
        <v>0</v>
      </c>
      <c r="F31" s="68">
        <v>0</v>
      </c>
      <c r="G31" s="46">
        <f>AA36</f>
        <v>0</v>
      </c>
      <c r="H31" s="66">
        <f>AA37</f>
        <v>0</v>
      </c>
      <c r="I31" s="1"/>
      <c r="J31" s="1"/>
      <c r="K31" s="1"/>
      <c r="L31" s="1"/>
      <c r="AA31" s="2">
        <f>F29*E29</f>
        <v>0</v>
      </c>
    </row>
    <row r="32" spans="1:27" ht="15.45" x14ac:dyDescent="0.4">
      <c r="A32" s="43"/>
      <c r="B32" s="69"/>
      <c r="C32" s="33"/>
      <c r="D32" s="33"/>
      <c r="E32" s="33"/>
      <c r="F32" s="33"/>
      <c r="G32" s="33"/>
      <c r="H32" s="49"/>
      <c r="I32" s="1"/>
      <c r="J32" s="7" t="s">
        <v>39</v>
      </c>
      <c r="K32" s="7" t="s">
        <v>40</v>
      </c>
      <c r="L32" s="1"/>
      <c r="AA32" s="2">
        <f>G29*D4</f>
        <v>0</v>
      </c>
    </row>
    <row r="33" spans="1:27" ht="15.45" x14ac:dyDescent="0.4">
      <c r="A33" s="43"/>
      <c r="B33" s="33"/>
      <c r="C33" s="33"/>
      <c r="D33" s="62" t="s">
        <v>14</v>
      </c>
      <c r="E33" s="62" t="s">
        <v>15</v>
      </c>
      <c r="F33" s="62" t="s">
        <v>16</v>
      </c>
      <c r="G33" s="62" t="s">
        <v>17</v>
      </c>
      <c r="H33" s="63" t="s">
        <v>18</v>
      </c>
      <c r="I33" s="1"/>
      <c r="J33" s="7" t="s">
        <v>41</v>
      </c>
      <c r="K33" s="6">
        <f>AA38</f>
        <v>1.2245522500000001</v>
      </c>
      <c r="L33" s="1"/>
      <c r="AA33" s="3">
        <f>SUM(H61:H64)</f>
        <v>3266</v>
      </c>
    </row>
    <row r="34" spans="1:27" ht="15.45" x14ac:dyDescent="0.4">
      <c r="A34" s="43"/>
      <c r="B34" s="33"/>
      <c r="C34" s="33"/>
      <c r="D34" s="62" t="s">
        <v>20</v>
      </c>
      <c r="E34" s="62" t="s">
        <v>21</v>
      </c>
      <c r="F34" s="62" t="s">
        <v>22</v>
      </c>
      <c r="G34" s="62" t="s">
        <v>23</v>
      </c>
      <c r="H34" s="63" t="s">
        <v>24</v>
      </c>
      <c r="I34" s="1"/>
      <c r="J34" s="4"/>
      <c r="K34" s="5">
        <f>AA39</f>
        <v>1002</v>
      </c>
      <c r="L34" s="1"/>
      <c r="AA34" s="2">
        <f>F30*E30</f>
        <v>0</v>
      </c>
    </row>
    <row r="35" spans="1:27" ht="15.45" x14ac:dyDescent="0.4">
      <c r="A35" s="43" t="s">
        <v>42</v>
      </c>
      <c r="B35" s="33"/>
      <c r="C35" s="27"/>
      <c r="D35" s="33"/>
      <c r="E35" s="33"/>
      <c r="F35" s="47"/>
      <c r="G35" s="57"/>
      <c r="H35" s="54"/>
      <c r="I35" s="1"/>
      <c r="J35" s="1"/>
      <c r="K35" s="5">
        <f>AA40</f>
        <v>1002</v>
      </c>
      <c r="L35" s="1"/>
      <c r="AA35" s="2">
        <f>G30*D4</f>
        <v>0</v>
      </c>
    </row>
    <row r="36" spans="1:27" ht="15.45" x14ac:dyDescent="0.4">
      <c r="A36" s="43" t="s">
        <v>43</v>
      </c>
      <c r="B36" s="33"/>
      <c r="C36" s="33"/>
      <c r="D36" s="33"/>
      <c r="E36" s="33"/>
      <c r="F36" s="47"/>
      <c r="G36" s="57"/>
      <c r="H36" s="54"/>
      <c r="I36" s="1"/>
      <c r="J36" s="1"/>
      <c r="K36" s="1"/>
      <c r="L36" s="1"/>
      <c r="AA36" s="2">
        <f>F31*E31</f>
        <v>0</v>
      </c>
    </row>
    <row r="37" spans="1:27" ht="15.45" x14ac:dyDescent="0.4">
      <c r="A37" s="43" t="s">
        <v>31</v>
      </c>
      <c r="B37" s="65" t="s">
        <v>44</v>
      </c>
      <c r="C37" s="33"/>
      <c r="D37" s="65" t="s">
        <v>32</v>
      </c>
      <c r="E37" s="32">
        <v>1</v>
      </c>
      <c r="F37" s="45">
        <v>284</v>
      </c>
      <c r="G37" s="46">
        <f>AA41</f>
        <v>284</v>
      </c>
      <c r="H37" s="66">
        <f>AA42</f>
        <v>284</v>
      </c>
      <c r="I37" s="1"/>
      <c r="J37" s="1"/>
      <c r="K37" s="1"/>
      <c r="L37" s="1"/>
      <c r="AA37" s="2">
        <f>G31*D4</f>
        <v>0</v>
      </c>
    </row>
    <row r="38" spans="1:27" ht="15.45" x14ac:dyDescent="0.4">
      <c r="A38" s="43" t="s">
        <v>33</v>
      </c>
      <c r="B38" s="65" t="s">
        <v>45</v>
      </c>
      <c r="C38" s="27"/>
      <c r="D38" s="65" t="s">
        <v>32</v>
      </c>
      <c r="E38" s="32">
        <v>0</v>
      </c>
      <c r="F38" s="45">
        <v>0</v>
      </c>
      <c r="G38" s="46">
        <f>AA43</f>
        <v>0</v>
      </c>
      <c r="H38" s="66">
        <f>AA44</f>
        <v>0</v>
      </c>
      <c r="I38" s="1"/>
      <c r="J38" s="1"/>
      <c r="K38" s="1"/>
      <c r="L38" s="1"/>
      <c r="AA38" s="2">
        <f>(1+0.33267*((E8-D15)/((C8-G8)/2)))</f>
        <v>1.2245522500000001</v>
      </c>
    </row>
    <row r="39" spans="1:27" ht="15.45" x14ac:dyDescent="0.4">
      <c r="A39" s="43" t="s">
        <v>35</v>
      </c>
      <c r="B39" s="65" t="s">
        <v>45</v>
      </c>
      <c r="C39" s="33"/>
      <c r="D39" s="65" t="s">
        <v>32</v>
      </c>
      <c r="E39" s="32">
        <v>0</v>
      </c>
      <c r="F39" s="45">
        <v>0</v>
      </c>
      <c r="G39" s="46">
        <f>AA45</f>
        <v>0</v>
      </c>
      <c r="H39" s="66">
        <f>AA46</f>
        <v>0</v>
      </c>
      <c r="I39" s="1"/>
      <c r="J39" s="1"/>
      <c r="K39" s="1"/>
      <c r="L39" s="1"/>
      <c r="AA39" s="3">
        <f>H57</f>
        <v>1002</v>
      </c>
    </row>
    <row r="40" spans="1:27" ht="15.45" x14ac:dyDescent="0.4">
      <c r="A40" s="43" t="s">
        <v>46</v>
      </c>
      <c r="B40" s="33"/>
      <c r="C40" s="33"/>
      <c r="D40" s="33"/>
      <c r="E40" s="33"/>
      <c r="F40" s="33"/>
      <c r="G40" s="57"/>
      <c r="H40" s="54"/>
      <c r="I40" s="1"/>
      <c r="J40" s="1"/>
      <c r="K40" s="1"/>
      <c r="L40" s="1"/>
      <c r="AA40" s="3">
        <f>K34+0</f>
        <v>1002</v>
      </c>
    </row>
    <row r="41" spans="1:27" ht="15.45" x14ac:dyDescent="0.4">
      <c r="A41" s="43" t="s">
        <v>31</v>
      </c>
      <c r="B41" s="65" t="s">
        <v>47</v>
      </c>
      <c r="C41" s="27"/>
      <c r="D41" s="65" t="s">
        <v>32</v>
      </c>
      <c r="E41" s="32">
        <v>1</v>
      </c>
      <c r="F41" s="45">
        <v>146</v>
      </c>
      <c r="G41" s="46">
        <f>AA47</f>
        <v>146</v>
      </c>
      <c r="H41" s="66">
        <f>AA48</f>
        <v>146</v>
      </c>
      <c r="I41" s="1"/>
      <c r="J41" s="1"/>
      <c r="K41" s="1"/>
      <c r="L41" s="1"/>
      <c r="AA41" s="2">
        <f>F37*E37</f>
        <v>284</v>
      </c>
    </row>
    <row r="42" spans="1:27" ht="15.45" x14ac:dyDescent="0.4">
      <c r="A42" s="43" t="s">
        <v>33</v>
      </c>
      <c r="B42" s="65" t="s">
        <v>45</v>
      </c>
      <c r="C42" s="27"/>
      <c r="D42" s="65" t="s">
        <v>32</v>
      </c>
      <c r="E42" s="32">
        <v>0</v>
      </c>
      <c r="F42" s="45">
        <v>0</v>
      </c>
      <c r="G42" s="46">
        <f>AA49</f>
        <v>0</v>
      </c>
      <c r="H42" s="66">
        <f>AA50</f>
        <v>0</v>
      </c>
      <c r="I42" s="8"/>
      <c r="J42" s="8"/>
      <c r="K42" s="8"/>
      <c r="L42" s="1"/>
      <c r="AA42" s="2">
        <f>G37*D4</f>
        <v>284</v>
      </c>
    </row>
    <row r="43" spans="1:27" ht="15.45" x14ac:dyDescent="0.4">
      <c r="A43" s="43" t="s">
        <v>48</v>
      </c>
      <c r="B43" s="33"/>
      <c r="C43" s="47"/>
      <c r="D43" s="33"/>
      <c r="E43" s="33"/>
      <c r="F43" s="47"/>
      <c r="G43" s="57"/>
      <c r="H43" s="54"/>
      <c r="I43" s="1"/>
      <c r="J43" s="1"/>
      <c r="K43" s="1"/>
      <c r="L43" s="1"/>
      <c r="AA43" s="2">
        <f>F38*E38</f>
        <v>0</v>
      </c>
    </row>
    <row r="44" spans="1:27" ht="15.45" x14ac:dyDescent="0.4">
      <c r="A44" s="43" t="s">
        <v>31</v>
      </c>
      <c r="B44" s="65" t="s">
        <v>49</v>
      </c>
      <c r="C44" s="47"/>
      <c r="D44" s="65" t="s">
        <v>32</v>
      </c>
      <c r="E44" s="32">
        <v>1</v>
      </c>
      <c r="F44" s="45">
        <v>194</v>
      </c>
      <c r="G44" s="46">
        <f>AA51</f>
        <v>194</v>
      </c>
      <c r="H44" s="66">
        <f>AA52</f>
        <v>194</v>
      </c>
      <c r="I44" s="1"/>
      <c r="J44" s="1"/>
      <c r="K44" s="1"/>
      <c r="L44" s="1"/>
      <c r="AA44" s="2">
        <f>G38*D4</f>
        <v>0</v>
      </c>
    </row>
    <row r="45" spans="1:27" ht="15.45" x14ac:dyDescent="0.4">
      <c r="A45" s="43" t="s">
        <v>33</v>
      </c>
      <c r="B45" s="65" t="s">
        <v>45</v>
      </c>
      <c r="C45" s="47"/>
      <c r="D45" s="65" t="s">
        <v>32</v>
      </c>
      <c r="E45" s="32">
        <v>0</v>
      </c>
      <c r="F45" s="45">
        <v>0</v>
      </c>
      <c r="G45" s="46">
        <f>AA53</f>
        <v>0</v>
      </c>
      <c r="H45" s="66">
        <f>AA54</f>
        <v>0</v>
      </c>
      <c r="I45" s="1"/>
      <c r="J45" s="1"/>
      <c r="K45" s="1"/>
      <c r="L45" s="1"/>
      <c r="AA45" s="2">
        <f>F39*E39</f>
        <v>0</v>
      </c>
    </row>
    <row r="46" spans="1:27" ht="15.45" x14ac:dyDescent="0.4">
      <c r="A46" s="43" t="s">
        <v>35</v>
      </c>
      <c r="B46" s="65" t="s">
        <v>45</v>
      </c>
      <c r="C46" s="33"/>
      <c r="D46" s="65" t="s">
        <v>32</v>
      </c>
      <c r="E46" s="32">
        <v>0</v>
      </c>
      <c r="F46" s="45">
        <v>0</v>
      </c>
      <c r="G46" s="46">
        <f>AA55</f>
        <v>0</v>
      </c>
      <c r="H46" s="66">
        <f>AA56</f>
        <v>0</v>
      </c>
      <c r="I46" s="8"/>
      <c r="J46" s="8"/>
      <c r="K46" s="8"/>
      <c r="L46" s="1"/>
      <c r="AA46" s="2">
        <f>G39*D4</f>
        <v>0</v>
      </c>
    </row>
    <row r="47" spans="1:27" ht="15.45" x14ac:dyDescent="0.4">
      <c r="A47" s="43" t="s">
        <v>50</v>
      </c>
      <c r="B47" s="33"/>
      <c r="C47" s="33"/>
      <c r="D47" s="33"/>
      <c r="E47" s="33"/>
      <c r="F47" s="47"/>
      <c r="G47" s="57"/>
      <c r="H47" s="54"/>
      <c r="I47" s="1"/>
      <c r="J47" s="1"/>
      <c r="K47" s="4"/>
      <c r="L47" s="1"/>
      <c r="AA47" s="2">
        <f>F41*E41</f>
        <v>146</v>
      </c>
    </row>
    <row r="48" spans="1:27" ht="15.45" x14ac:dyDescent="0.4">
      <c r="A48" s="43" t="s">
        <v>31</v>
      </c>
      <c r="B48" s="65" t="s">
        <v>118</v>
      </c>
      <c r="C48" s="27"/>
      <c r="D48" s="65" t="s">
        <v>32</v>
      </c>
      <c r="E48" s="32">
        <v>0</v>
      </c>
      <c r="F48" s="45">
        <v>0</v>
      </c>
      <c r="G48" s="46">
        <f>AA57</f>
        <v>0</v>
      </c>
      <c r="H48" s="66">
        <f>AA58</f>
        <v>0</v>
      </c>
      <c r="I48" s="1"/>
      <c r="J48" s="1"/>
      <c r="K48" s="4"/>
      <c r="L48" s="1"/>
      <c r="AA48" s="2">
        <f>G41*D4</f>
        <v>146</v>
      </c>
    </row>
    <row r="49" spans="1:27" ht="15.45" x14ac:dyDescent="0.4">
      <c r="A49" s="43" t="s">
        <v>33</v>
      </c>
      <c r="B49" s="65" t="s">
        <v>51</v>
      </c>
      <c r="C49" s="27"/>
      <c r="D49" s="65" t="s">
        <v>32</v>
      </c>
      <c r="E49" s="32">
        <v>0</v>
      </c>
      <c r="F49" s="45">
        <v>0</v>
      </c>
      <c r="G49" s="46">
        <f>AA59</f>
        <v>0</v>
      </c>
      <c r="H49" s="66">
        <f>AA60</f>
        <v>0</v>
      </c>
      <c r="I49" s="1"/>
      <c r="J49" s="1"/>
      <c r="K49" s="4"/>
      <c r="L49" s="1"/>
      <c r="AA49" s="2">
        <f>F42*E42</f>
        <v>0</v>
      </c>
    </row>
    <row r="50" spans="1:27" ht="15.45" x14ac:dyDescent="0.4">
      <c r="A50" s="43" t="s">
        <v>35</v>
      </c>
      <c r="B50" s="65" t="s">
        <v>45</v>
      </c>
      <c r="C50" s="27"/>
      <c r="D50" s="65" t="s">
        <v>32</v>
      </c>
      <c r="E50" s="32">
        <v>0</v>
      </c>
      <c r="F50" s="45">
        <v>0</v>
      </c>
      <c r="G50" s="46">
        <f>AA61</f>
        <v>0</v>
      </c>
      <c r="H50" s="66">
        <f>AA62</f>
        <v>0</v>
      </c>
      <c r="I50" s="1"/>
      <c r="J50" s="1"/>
      <c r="K50" s="4"/>
      <c r="L50" s="1"/>
      <c r="AA50" s="2">
        <f>G42*D4</f>
        <v>0</v>
      </c>
    </row>
    <row r="51" spans="1:27" ht="15.45" x14ac:dyDescent="0.4">
      <c r="A51" s="61"/>
      <c r="B51" s="33"/>
      <c r="C51" s="27"/>
      <c r="D51" s="33"/>
      <c r="E51" s="33"/>
      <c r="F51" s="47"/>
      <c r="G51" s="57"/>
      <c r="H51" s="54"/>
      <c r="I51" s="1"/>
      <c r="J51" s="1"/>
      <c r="K51" s="4"/>
      <c r="L51" s="1"/>
      <c r="AA51" s="2">
        <f>F44*E44</f>
        <v>194</v>
      </c>
    </row>
    <row r="52" spans="1:27" ht="15.45" x14ac:dyDescent="0.4">
      <c r="A52" s="61"/>
      <c r="B52" s="27"/>
      <c r="C52" s="27"/>
      <c r="D52" s="62" t="s">
        <v>14</v>
      </c>
      <c r="E52" s="62" t="s">
        <v>15</v>
      </c>
      <c r="F52" s="62" t="s">
        <v>16</v>
      </c>
      <c r="G52" s="62" t="s">
        <v>17</v>
      </c>
      <c r="H52" s="63" t="s">
        <v>18</v>
      </c>
      <c r="I52" s="1"/>
      <c r="J52" s="1"/>
      <c r="K52" s="4"/>
      <c r="L52" s="1"/>
      <c r="AA52" s="2">
        <f>G44*D4</f>
        <v>194</v>
      </c>
    </row>
    <row r="53" spans="1:27" ht="15.45" x14ac:dyDescent="0.4">
      <c r="A53" s="43" t="s">
        <v>52</v>
      </c>
      <c r="B53" s="27"/>
      <c r="C53" s="27"/>
      <c r="D53" s="62" t="s">
        <v>20</v>
      </c>
      <c r="E53" s="62" t="s">
        <v>21</v>
      </c>
      <c r="F53" s="62" t="s">
        <v>22</v>
      </c>
      <c r="G53" s="62" t="s">
        <v>23</v>
      </c>
      <c r="H53" s="63" t="s">
        <v>24</v>
      </c>
      <c r="I53" s="1"/>
      <c r="J53" s="1"/>
      <c r="K53" s="4"/>
      <c r="L53" s="1"/>
      <c r="AA53" s="2">
        <f>F45*E45</f>
        <v>0</v>
      </c>
    </row>
    <row r="54" spans="1:27" ht="15.45" x14ac:dyDescent="0.4">
      <c r="A54" s="43" t="s">
        <v>53</v>
      </c>
      <c r="B54" s="27"/>
      <c r="C54" s="33"/>
      <c r="D54" s="65" t="s">
        <v>3</v>
      </c>
      <c r="E54" s="32">
        <v>0</v>
      </c>
      <c r="F54" s="45">
        <v>0</v>
      </c>
      <c r="G54" s="46">
        <f>AA63</f>
        <v>0</v>
      </c>
      <c r="H54" s="66">
        <f>AA64</f>
        <v>0</v>
      </c>
      <c r="I54" s="1"/>
      <c r="J54" s="1"/>
      <c r="K54" s="4"/>
      <c r="L54" s="1"/>
      <c r="AA54" s="2">
        <f>G45*D4</f>
        <v>0</v>
      </c>
    </row>
    <row r="55" spans="1:27" ht="15.45" x14ac:dyDescent="0.4">
      <c r="A55" s="43" t="s">
        <v>54</v>
      </c>
      <c r="B55" s="27"/>
      <c r="C55" s="27"/>
      <c r="D55" s="65" t="s">
        <v>55</v>
      </c>
      <c r="E55" s="32">
        <v>1</v>
      </c>
      <c r="F55" s="45">
        <v>24</v>
      </c>
      <c r="G55" s="46">
        <f>AA65</f>
        <v>24</v>
      </c>
      <c r="H55" s="66">
        <f>AA66</f>
        <v>24</v>
      </c>
      <c r="I55" s="1"/>
      <c r="J55" s="1"/>
      <c r="K55" s="4"/>
      <c r="L55" s="1"/>
      <c r="AA55" s="2">
        <f>F46*E46</f>
        <v>0</v>
      </c>
    </row>
    <row r="56" spans="1:27" ht="15.45" x14ac:dyDescent="0.4">
      <c r="A56" s="43" t="s">
        <v>119</v>
      </c>
      <c r="B56" s="27"/>
      <c r="C56" s="27"/>
      <c r="D56" s="65" t="s">
        <v>55</v>
      </c>
      <c r="E56" s="32">
        <v>1</v>
      </c>
      <c r="F56" s="45">
        <v>100</v>
      </c>
      <c r="G56" s="46">
        <f>AA67</f>
        <v>100</v>
      </c>
      <c r="H56" s="66">
        <f>AA68</f>
        <v>100</v>
      </c>
      <c r="I56" s="1"/>
      <c r="J56" s="4"/>
      <c r="K56" s="4"/>
      <c r="L56" s="1"/>
      <c r="AA56" s="2">
        <f>G46*D4</f>
        <v>0</v>
      </c>
    </row>
    <row r="57" spans="1:27" ht="15.45" x14ac:dyDescent="0.4">
      <c r="A57" s="43" t="s">
        <v>7</v>
      </c>
      <c r="B57" s="33"/>
      <c r="C57" s="27"/>
      <c r="D57" s="67" t="s">
        <v>56</v>
      </c>
      <c r="E57" s="62">
        <f>AA69</f>
        <v>1</v>
      </c>
      <c r="F57" s="53">
        <f>AA70</f>
        <v>1002</v>
      </c>
      <c r="G57" s="46">
        <f>AA71</f>
        <v>1002</v>
      </c>
      <c r="H57" s="66">
        <f>AA72</f>
        <v>1002</v>
      </c>
      <c r="I57" s="1"/>
      <c r="J57" s="4"/>
      <c r="K57" s="4"/>
      <c r="L57" s="1"/>
      <c r="AA57" s="2">
        <f>F48*E48</f>
        <v>0</v>
      </c>
    </row>
    <row r="58" spans="1:27" ht="15.45" x14ac:dyDescent="0.4">
      <c r="A58" s="43" t="s">
        <v>57</v>
      </c>
      <c r="B58" s="27"/>
      <c r="C58" s="33"/>
      <c r="D58" s="65" t="s">
        <v>58</v>
      </c>
      <c r="E58" s="32">
        <v>0</v>
      </c>
      <c r="F58" s="45">
        <v>0</v>
      </c>
      <c r="G58" s="46">
        <f>AA74</f>
        <v>0</v>
      </c>
      <c r="H58" s="66">
        <f>AA75</f>
        <v>0</v>
      </c>
      <c r="I58" s="1"/>
      <c r="J58" s="1"/>
      <c r="K58" s="4"/>
      <c r="L58" s="1"/>
      <c r="AA58" s="2">
        <f>G48*D4</f>
        <v>0</v>
      </c>
    </row>
    <row r="59" spans="1:27" ht="15.45" x14ac:dyDescent="0.4">
      <c r="A59" s="70" t="s">
        <v>120</v>
      </c>
      <c r="B59" s="71"/>
      <c r="C59" s="71"/>
      <c r="D59" s="72" t="s">
        <v>55</v>
      </c>
      <c r="E59" s="73">
        <v>1</v>
      </c>
      <c r="F59" s="74">
        <v>367</v>
      </c>
      <c r="G59" s="75">
        <f>AA76</f>
        <v>367</v>
      </c>
      <c r="H59" s="76">
        <f>AA77</f>
        <v>367</v>
      </c>
      <c r="I59" s="1"/>
      <c r="J59" s="1"/>
      <c r="K59" s="4"/>
      <c r="L59" s="1"/>
      <c r="AA59" s="2">
        <f>F49*E49</f>
        <v>0</v>
      </c>
    </row>
    <row r="60" spans="1:27" ht="15.45" x14ac:dyDescent="0.4">
      <c r="A60" s="70" t="s">
        <v>121</v>
      </c>
      <c r="B60" s="71"/>
      <c r="C60" s="71"/>
      <c r="D60" s="72" t="s">
        <v>55</v>
      </c>
      <c r="E60" s="73">
        <v>1</v>
      </c>
      <c r="F60" s="74">
        <v>5</v>
      </c>
      <c r="G60" s="75">
        <f>AA78</f>
        <v>5</v>
      </c>
      <c r="H60" s="76">
        <f>AA79</f>
        <v>5</v>
      </c>
      <c r="I60" s="1"/>
      <c r="J60" s="4"/>
      <c r="K60" s="4"/>
      <c r="L60" s="1"/>
      <c r="AA60" s="2">
        <f>G49*D4</f>
        <v>0</v>
      </c>
    </row>
    <row r="61" spans="1:27" ht="15.45" x14ac:dyDescent="0.4">
      <c r="A61" s="70" t="s">
        <v>146</v>
      </c>
      <c r="B61" s="71"/>
      <c r="C61" s="71"/>
      <c r="D61" s="72" t="s">
        <v>55</v>
      </c>
      <c r="E61" s="73">
        <v>1</v>
      </c>
      <c r="F61" s="74">
        <v>26</v>
      </c>
      <c r="G61" s="75">
        <f>AA80</f>
        <v>26</v>
      </c>
      <c r="H61" s="76">
        <f>AA81</f>
        <v>26</v>
      </c>
      <c r="I61" s="1"/>
      <c r="J61" s="1"/>
      <c r="K61" s="4"/>
      <c r="L61" s="1"/>
      <c r="AA61" s="2">
        <f>F50*E50</f>
        <v>0</v>
      </c>
    </row>
    <row r="62" spans="1:27" ht="15.45" x14ac:dyDescent="0.4">
      <c r="A62" s="77" t="s">
        <v>59</v>
      </c>
      <c r="B62" s="71"/>
      <c r="C62" s="71"/>
      <c r="D62" s="72" t="s">
        <v>36</v>
      </c>
      <c r="E62" s="78"/>
      <c r="F62" s="79"/>
      <c r="G62" s="78"/>
      <c r="H62" s="80"/>
      <c r="I62" s="1"/>
      <c r="J62" s="1"/>
      <c r="K62" s="4"/>
      <c r="L62" s="1"/>
      <c r="AA62" s="2">
        <f>G50*D4</f>
        <v>0</v>
      </c>
    </row>
    <row r="63" spans="1:27" ht="15.45" x14ac:dyDescent="0.4">
      <c r="A63" s="77" t="s">
        <v>31</v>
      </c>
      <c r="B63" s="81" t="s">
        <v>131</v>
      </c>
      <c r="C63" s="82"/>
      <c r="D63" s="72" t="s">
        <v>55</v>
      </c>
      <c r="E63" s="73">
        <v>1</v>
      </c>
      <c r="F63" s="74">
        <v>3240</v>
      </c>
      <c r="G63" s="75">
        <f>AA82</f>
        <v>3240</v>
      </c>
      <c r="H63" s="76">
        <f>AA83</f>
        <v>3240</v>
      </c>
      <c r="I63" s="1"/>
      <c r="J63" s="1"/>
      <c r="K63" s="4"/>
      <c r="L63" s="1"/>
      <c r="AA63" s="2">
        <f>F54*E54</f>
        <v>0</v>
      </c>
    </row>
    <row r="64" spans="1:27" ht="15.45" x14ac:dyDescent="0.4">
      <c r="A64" s="77" t="s">
        <v>33</v>
      </c>
      <c r="B64" s="81" t="s">
        <v>36</v>
      </c>
      <c r="C64" s="82"/>
      <c r="D64" s="72" t="s">
        <v>55</v>
      </c>
      <c r="E64" s="73">
        <v>0</v>
      </c>
      <c r="F64" s="74">
        <v>0</v>
      </c>
      <c r="G64" s="75">
        <f>AA84</f>
        <v>0</v>
      </c>
      <c r="H64" s="76">
        <f>AA85</f>
        <v>0</v>
      </c>
      <c r="I64" s="1"/>
      <c r="J64" s="4"/>
      <c r="K64" s="4"/>
      <c r="L64" s="1"/>
      <c r="AA64" s="2">
        <f>G54*D4</f>
        <v>0</v>
      </c>
    </row>
    <row r="65" spans="1:27" ht="15.45" x14ac:dyDescent="0.4">
      <c r="A65" s="61"/>
      <c r="B65" s="27"/>
      <c r="C65" s="27"/>
      <c r="D65" s="33"/>
      <c r="E65" s="57"/>
      <c r="F65" s="47"/>
      <c r="G65" s="57"/>
      <c r="H65" s="54"/>
      <c r="I65" s="1"/>
      <c r="J65" s="1"/>
      <c r="K65" s="1"/>
      <c r="L65" s="1"/>
      <c r="AA65" s="2">
        <f>F55*E55</f>
        <v>24</v>
      </c>
    </row>
    <row r="66" spans="1:27" ht="15.45" x14ac:dyDescent="0.4">
      <c r="A66" s="61"/>
      <c r="B66" s="27"/>
      <c r="C66" s="27"/>
      <c r="D66" s="62" t="s">
        <v>60</v>
      </c>
      <c r="E66" s="121"/>
      <c r="F66" s="47"/>
      <c r="G66" s="57"/>
      <c r="H66" s="54"/>
      <c r="I66" s="1"/>
      <c r="J66" s="4"/>
      <c r="K66" s="4"/>
      <c r="L66" s="1"/>
      <c r="AA66" s="2">
        <f>G55*D4</f>
        <v>24</v>
      </c>
    </row>
    <row r="67" spans="1:27" ht="15.45" x14ac:dyDescent="0.4">
      <c r="A67" s="61"/>
      <c r="B67" s="27"/>
      <c r="C67" s="27"/>
      <c r="D67" s="62" t="s">
        <v>61</v>
      </c>
      <c r="E67" s="121"/>
      <c r="F67" s="47"/>
      <c r="G67" s="62" t="s">
        <v>17</v>
      </c>
      <c r="H67" s="63" t="s">
        <v>18</v>
      </c>
      <c r="I67" s="1"/>
      <c r="J67" s="1"/>
      <c r="K67" s="4"/>
      <c r="L67" s="1"/>
      <c r="AA67" s="2">
        <f>F56*E56</f>
        <v>100</v>
      </c>
    </row>
    <row r="68" spans="1:27" ht="15.45" x14ac:dyDescent="0.4">
      <c r="A68" s="43" t="s">
        <v>62</v>
      </c>
      <c r="B68" s="33"/>
      <c r="C68" s="27"/>
      <c r="D68" s="32">
        <v>779</v>
      </c>
      <c r="E68" s="122"/>
      <c r="F68" s="84"/>
      <c r="G68" s="46">
        <f ca="1">AA87</f>
        <v>779</v>
      </c>
      <c r="H68" s="66">
        <f ca="1">AA88</f>
        <v>779</v>
      </c>
      <c r="I68" s="1"/>
      <c r="J68" s="1"/>
      <c r="K68" s="4"/>
      <c r="L68" s="1"/>
      <c r="AA68" s="2">
        <f>G56*D4</f>
        <v>100</v>
      </c>
    </row>
    <row r="69" spans="1:27" ht="15.45" x14ac:dyDescent="0.4">
      <c r="A69" s="43" t="s">
        <v>63</v>
      </c>
      <c r="B69" s="33"/>
      <c r="C69" s="27"/>
      <c r="D69" s="32">
        <v>314</v>
      </c>
      <c r="E69" s="122"/>
      <c r="F69" s="84"/>
      <c r="G69" s="46">
        <f ca="1">AA90</f>
        <v>314</v>
      </c>
      <c r="H69" s="66">
        <f ca="1">AA91</f>
        <v>314</v>
      </c>
      <c r="I69" s="1"/>
      <c r="J69" s="1"/>
      <c r="K69" s="4"/>
      <c r="L69" s="1"/>
      <c r="AA69" s="2">
        <f>IF(UPPER(LEFT(D19,1))="Y",1,0)</f>
        <v>1</v>
      </c>
    </row>
    <row r="70" spans="1:27" ht="15.45" x14ac:dyDescent="0.4">
      <c r="A70" s="43" t="s">
        <v>64</v>
      </c>
      <c r="B70" s="33"/>
      <c r="C70" s="27"/>
      <c r="D70" s="32">
        <v>0</v>
      </c>
      <c r="E70" s="122"/>
      <c r="F70" s="84"/>
      <c r="G70" s="46">
        <f ca="1">AA93</f>
        <v>0</v>
      </c>
      <c r="H70" s="66">
        <f ca="1">AA94</f>
        <v>0</v>
      </c>
      <c r="I70" s="1"/>
      <c r="J70" s="1"/>
      <c r="K70" s="7" t="s">
        <v>65</v>
      </c>
      <c r="L70" s="1"/>
      <c r="AA70" s="9">
        <f>D13</f>
        <v>1002</v>
      </c>
    </row>
    <row r="71" spans="1:27" ht="15.45" x14ac:dyDescent="0.4">
      <c r="A71" s="43" t="s">
        <v>126</v>
      </c>
      <c r="B71" s="33"/>
      <c r="C71" s="33"/>
      <c r="D71" s="32">
        <v>0</v>
      </c>
      <c r="E71" s="122"/>
      <c r="F71" s="84"/>
      <c r="G71" s="46">
        <f ca="1">AA96</f>
        <v>0</v>
      </c>
      <c r="H71" s="66">
        <f ca="1">AA97</f>
        <v>0</v>
      </c>
      <c r="I71" s="1"/>
      <c r="J71" s="1"/>
      <c r="K71" s="7" t="s">
        <v>66</v>
      </c>
      <c r="L71" s="1"/>
      <c r="AA71" s="2">
        <f>F57*E57</f>
        <v>1002</v>
      </c>
    </row>
    <row r="72" spans="1:27" ht="15.45" x14ac:dyDescent="0.4">
      <c r="A72" s="43" t="s">
        <v>67</v>
      </c>
      <c r="B72" s="33"/>
      <c r="C72" s="33"/>
      <c r="D72" s="32">
        <v>0</v>
      </c>
      <c r="E72" s="122"/>
      <c r="F72" s="84"/>
      <c r="G72" s="46">
        <f ca="1">AA99</f>
        <v>0</v>
      </c>
      <c r="H72" s="66">
        <f ca="1">AA100</f>
        <v>0</v>
      </c>
      <c r="I72" s="1"/>
      <c r="J72" s="1"/>
      <c r="K72" s="7" t="s">
        <v>68</v>
      </c>
      <c r="L72" s="1"/>
      <c r="AA72" s="2">
        <f>G57*D4</f>
        <v>1002</v>
      </c>
    </row>
    <row r="73" spans="1:27" ht="15.45" x14ac:dyDescent="0.4">
      <c r="A73" s="43"/>
      <c r="B73" s="33"/>
      <c r="C73" s="33"/>
      <c r="D73" s="33"/>
      <c r="E73" s="85"/>
      <c r="F73" s="84"/>
      <c r="G73" s="27"/>
      <c r="H73" s="35"/>
      <c r="I73" s="1"/>
      <c r="J73" s="1"/>
      <c r="K73" s="7" t="s">
        <v>69</v>
      </c>
      <c r="L73" s="1"/>
      <c r="AA73" s="2">
        <f>30/7</f>
        <v>4.2857142857142856</v>
      </c>
    </row>
    <row r="74" spans="1:27" ht="15.45" x14ac:dyDescent="0.4">
      <c r="A74" s="43" t="s">
        <v>70</v>
      </c>
      <c r="B74" s="27"/>
      <c r="C74" s="62" t="s">
        <v>71</v>
      </c>
      <c r="D74" s="62" t="s">
        <v>72</v>
      </c>
      <c r="E74" s="85"/>
      <c r="F74" s="47"/>
      <c r="G74" s="57"/>
      <c r="H74" s="54"/>
      <c r="I74" s="1"/>
      <c r="J74" s="4"/>
      <c r="K74" s="7" t="s">
        <v>73</v>
      </c>
      <c r="L74" s="1"/>
      <c r="AA74" s="2">
        <f>F58*E58</f>
        <v>0</v>
      </c>
    </row>
    <row r="75" spans="1:27" ht="15.45" x14ac:dyDescent="0.4">
      <c r="A75" s="43" t="s">
        <v>74</v>
      </c>
      <c r="B75" s="27"/>
      <c r="C75" s="32">
        <v>7.7</v>
      </c>
      <c r="D75" s="32">
        <v>100</v>
      </c>
      <c r="E75" s="122"/>
      <c r="F75" s="33"/>
      <c r="G75" s="46">
        <f ca="1">AA102</f>
        <v>840</v>
      </c>
      <c r="H75" s="66">
        <f ca="1">AA103</f>
        <v>840</v>
      </c>
      <c r="I75" s="1"/>
      <c r="J75" s="4"/>
      <c r="K75" s="4"/>
      <c r="L75" s="1"/>
      <c r="AA75" s="2">
        <f>G58*D4</f>
        <v>0</v>
      </c>
    </row>
    <row r="76" spans="1:27" ht="15.45" x14ac:dyDescent="0.4">
      <c r="A76" s="61"/>
      <c r="B76" s="27"/>
      <c r="C76" s="33"/>
      <c r="D76" s="33"/>
      <c r="E76" s="86"/>
      <c r="F76" s="27"/>
      <c r="G76" s="62" t="s">
        <v>21</v>
      </c>
      <c r="H76" s="63" t="s">
        <v>75</v>
      </c>
      <c r="I76" s="1"/>
      <c r="J76" s="4"/>
      <c r="K76" s="4"/>
      <c r="L76" s="1"/>
      <c r="AA76" s="2">
        <f>F59*E59</f>
        <v>367</v>
      </c>
    </row>
    <row r="77" spans="1:27" ht="15.45" x14ac:dyDescent="0.4">
      <c r="A77" s="43" t="s">
        <v>76</v>
      </c>
      <c r="B77" s="33"/>
      <c r="C77" s="27"/>
      <c r="D77" s="33"/>
      <c r="E77" s="85"/>
      <c r="F77" s="47"/>
      <c r="G77" s="46">
        <f ca="1">AA104</f>
        <v>11842.99</v>
      </c>
      <c r="H77" s="66">
        <f ca="1">AA105</f>
        <v>11842.99</v>
      </c>
      <c r="I77" s="1"/>
      <c r="J77" s="6">
        <f ca="1">AA106</f>
        <v>840</v>
      </c>
      <c r="K77" s="7" t="s">
        <v>77</v>
      </c>
      <c r="L77" s="1"/>
      <c r="AA77" s="2">
        <f>G59*D4</f>
        <v>367</v>
      </c>
    </row>
    <row r="78" spans="1:27" ht="15.45" x14ac:dyDescent="0.4">
      <c r="A78" s="61"/>
      <c r="B78" s="33"/>
      <c r="C78" s="33"/>
      <c r="D78" s="33"/>
      <c r="E78" s="85"/>
      <c r="F78" s="33"/>
      <c r="G78" s="57"/>
      <c r="H78" s="54"/>
      <c r="I78" s="1"/>
      <c r="J78" s="4"/>
      <c r="K78" s="4"/>
      <c r="L78" s="1"/>
      <c r="AA78" s="2">
        <f>F60*E60</f>
        <v>5</v>
      </c>
    </row>
    <row r="79" spans="1:27" ht="15.45" x14ac:dyDescent="0.4">
      <c r="A79" s="61"/>
      <c r="B79" s="27"/>
      <c r="C79" s="27"/>
      <c r="D79" s="62" t="s">
        <v>60</v>
      </c>
      <c r="E79" s="121"/>
      <c r="F79" s="33"/>
      <c r="G79" s="57"/>
      <c r="H79" s="54"/>
      <c r="I79" s="1"/>
      <c r="J79" s="1"/>
      <c r="K79" s="4"/>
      <c r="L79" s="1"/>
      <c r="AA79" s="2">
        <f>G60*D4</f>
        <v>5</v>
      </c>
    </row>
    <row r="80" spans="1:27" ht="15.45" x14ac:dyDescent="0.4">
      <c r="A80" s="43" t="s">
        <v>78</v>
      </c>
      <c r="B80" s="33"/>
      <c r="C80" s="27"/>
      <c r="D80" s="62" t="s">
        <v>61</v>
      </c>
      <c r="E80" s="121"/>
      <c r="F80" s="57"/>
      <c r="G80" s="62" t="s">
        <v>17</v>
      </c>
      <c r="H80" s="63" t="s">
        <v>18</v>
      </c>
      <c r="I80" s="1"/>
      <c r="J80" s="1"/>
      <c r="K80" s="4"/>
      <c r="L80" s="1"/>
      <c r="AA80" s="2">
        <f>H61/D4</f>
        <v>26</v>
      </c>
    </row>
    <row r="81" spans="1:27" ht="15.45" x14ac:dyDescent="0.4">
      <c r="A81" s="43" t="s">
        <v>127</v>
      </c>
      <c r="B81" s="33"/>
      <c r="C81" s="33"/>
      <c r="D81" s="32">
        <v>414</v>
      </c>
      <c r="E81" s="122"/>
      <c r="F81" s="57"/>
      <c r="G81" s="46">
        <f ca="1">AA108</f>
        <v>414</v>
      </c>
      <c r="H81" s="66">
        <f ca="1">AA109</f>
        <v>414</v>
      </c>
      <c r="I81" s="1"/>
      <c r="J81" s="1"/>
      <c r="K81" s="4"/>
      <c r="L81" s="1"/>
      <c r="AA81" s="2">
        <f>E61*F61</f>
        <v>26</v>
      </c>
    </row>
    <row r="82" spans="1:27" ht="15.45" x14ac:dyDescent="0.4">
      <c r="A82" s="43" t="s">
        <v>128</v>
      </c>
      <c r="B82" s="27"/>
      <c r="C82" s="27"/>
      <c r="D82" s="32">
        <v>190</v>
      </c>
      <c r="E82" s="122"/>
      <c r="F82" s="57"/>
      <c r="G82" s="46">
        <f ca="1">AA111</f>
        <v>190</v>
      </c>
      <c r="H82" s="66">
        <f ca="1">AA112</f>
        <v>190</v>
      </c>
      <c r="I82" s="8"/>
      <c r="J82" s="1"/>
      <c r="K82" s="4"/>
      <c r="L82" s="1"/>
      <c r="AA82" s="2">
        <f>F63*E63</f>
        <v>3240</v>
      </c>
    </row>
    <row r="83" spans="1:27" ht="15.45" x14ac:dyDescent="0.4">
      <c r="A83" s="43" t="s">
        <v>129</v>
      </c>
      <c r="B83" s="33"/>
      <c r="C83" s="27"/>
      <c r="D83" s="32">
        <v>0</v>
      </c>
      <c r="E83" s="122"/>
      <c r="F83" s="33"/>
      <c r="G83" s="46">
        <f ca="1">AA114</f>
        <v>0</v>
      </c>
      <c r="H83" s="66">
        <f ca="1">AA115</f>
        <v>0</v>
      </c>
      <c r="I83" s="8"/>
      <c r="J83" s="1"/>
      <c r="K83" s="7" t="s">
        <v>79</v>
      </c>
      <c r="L83" s="1"/>
      <c r="AA83" s="2">
        <f>G63*D4</f>
        <v>3240</v>
      </c>
    </row>
    <row r="84" spans="1:27" ht="15.45" x14ac:dyDescent="0.4">
      <c r="A84" s="43" t="s">
        <v>141</v>
      </c>
      <c r="B84" s="33"/>
      <c r="C84" s="27"/>
      <c r="D84" s="32">
        <v>331</v>
      </c>
      <c r="E84" s="83"/>
      <c r="F84" s="33"/>
      <c r="G84" s="46">
        <f>AA117</f>
        <v>331</v>
      </c>
      <c r="H84" s="66">
        <f>AA118</f>
        <v>331</v>
      </c>
      <c r="I84" s="8"/>
      <c r="J84" s="1"/>
      <c r="K84" s="7" t="s">
        <v>81</v>
      </c>
      <c r="L84" s="1"/>
      <c r="AA84" s="2">
        <f>F64*E64</f>
        <v>0</v>
      </c>
    </row>
    <row r="85" spans="1:27" ht="15.45" x14ac:dyDescent="0.4">
      <c r="A85" s="43" t="s">
        <v>80</v>
      </c>
      <c r="B85" s="27"/>
      <c r="C85" s="27"/>
      <c r="D85" s="32">
        <v>1416</v>
      </c>
      <c r="E85" s="122"/>
      <c r="F85" s="27"/>
      <c r="G85" s="46">
        <f ca="1">AA119</f>
        <v>1416</v>
      </c>
      <c r="H85" s="66">
        <f ca="1">AA120</f>
        <v>1416</v>
      </c>
      <c r="I85" s="8"/>
      <c r="J85" s="1"/>
      <c r="K85" s="7" t="s">
        <v>82</v>
      </c>
      <c r="L85" s="1"/>
      <c r="AA85" s="2">
        <f>G64*D4</f>
        <v>0</v>
      </c>
    </row>
    <row r="86" spans="1:27" ht="15.45" x14ac:dyDescent="0.4">
      <c r="A86" s="61"/>
      <c r="B86" s="33"/>
      <c r="C86" s="33"/>
      <c r="D86" s="33"/>
      <c r="E86" s="57"/>
      <c r="F86" s="33"/>
      <c r="G86" s="62" t="s">
        <v>21</v>
      </c>
      <c r="H86" s="63" t="s">
        <v>75</v>
      </c>
      <c r="I86" s="1"/>
      <c r="J86" s="1"/>
      <c r="K86" s="7" t="s">
        <v>84</v>
      </c>
      <c r="L86" s="1"/>
      <c r="AA86" s="2">
        <f ca="1">IF(K70=0,0,HLOOKUP(A2,INDIRECT(K22),2, FALSE)*INDIRECT(K70)*0.01)</f>
        <v>0</v>
      </c>
    </row>
    <row r="87" spans="1:27" ht="15.45" x14ac:dyDescent="0.4">
      <c r="A87" s="43" t="s">
        <v>83</v>
      </c>
      <c r="B87" s="33"/>
      <c r="C87" s="57"/>
      <c r="D87" s="33"/>
      <c r="E87" s="57"/>
      <c r="F87" s="57"/>
      <c r="G87" s="46">
        <f ca="1">AA121</f>
        <v>2351</v>
      </c>
      <c r="H87" s="66">
        <f ca="1">AA122</f>
        <v>2351</v>
      </c>
      <c r="I87" s="8"/>
      <c r="J87" s="8"/>
      <c r="K87" s="4"/>
      <c r="L87" s="1"/>
      <c r="AA87" s="2">
        <f ca="1">H68/D4</f>
        <v>779</v>
      </c>
    </row>
    <row r="88" spans="1:27" ht="15.45" x14ac:dyDescent="0.4">
      <c r="A88" s="61"/>
      <c r="B88" s="33"/>
      <c r="C88" s="33"/>
      <c r="D88" s="33"/>
      <c r="E88" s="57"/>
      <c r="F88" s="57"/>
      <c r="G88" s="57"/>
      <c r="H88" s="54"/>
      <c r="I88" s="8"/>
      <c r="J88" s="8"/>
      <c r="K88" s="1"/>
      <c r="L88" s="1"/>
      <c r="AA88" s="2">
        <f ca="1">IF(E68=0,D68*D4,IF(INDIRECT(K70)&gt;0,E68,D68*D4))</f>
        <v>779</v>
      </c>
    </row>
    <row r="89" spans="1:27" ht="15.45" x14ac:dyDescent="0.4">
      <c r="A89" s="38"/>
      <c r="B89" s="38"/>
      <c r="C89" s="38"/>
      <c r="D89" s="38"/>
      <c r="E89" s="38"/>
      <c r="F89" s="38"/>
      <c r="G89" s="38"/>
      <c r="H89" s="38"/>
      <c r="I89" s="8"/>
      <c r="J89" s="8"/>
      <c r="K89" s="1"/>
      <c r="L89" s="1"/>
      <c r="AA89" s="2">
        <f ca="1">IF(K71=0,0,HLOOKUP(A2,INDIRECT(K22),3, FALSE)*INDIRECT(K71)*0.01)</f>
        <v>0</v>
      </c>
    </row>
    <row r="90" spans="1:27" ht="15.45" x14ac:dyDescent="0.4">
      <c r="A90" s="43" t="s">
        <v>85</v>
      </c>
      <c r="B90" s="27"/>
      <c r="C90" s="27"/>
      <c r="D90" s="27"/>
      <c r="E90" s="62" t="s">
        <v>17</v>
      </c>
      <c r="F90" s="62" t="s">
        <v>18</v>
      </c>
      <c r="G90" s="27"/>
      <c r="H90" s="35"/>
      <c r="I90" s="8"/>
      <c r="J90" s="8"/>
      <c r="K90" s="1"/>
      <c r="L90" s="1"/>
      <c r="AA90" s="2">
        <f ca="1">H69/D4</f>
        <v>314</v>
      </c>
    </row>
    <row r="91" spans="1:27" ht="15.45" x14ac:dyDescent="0.4">
      <c r="A91" s="43" t="s">
        <v>86</v>
      </c>
      <c r="B91" s="27"/>
      <c r="C91" s="57"/>
      <c r="D91" s="27"/>
      <c r="E91" s="46">
        <f>AA123</f>
        <v>22833</v>
      </c>
      <c r="F91" s="46">
        <f>AA124</f>
        <v>22833</v>
      </c>
      <c r="G91" s="47"/>
      <c r="H91" s="35"/>
      <c r="I91" s="8"/>
      <c r="J91" s="1"/>
      <c r="K91" s="1"/>
      <c r="L91" s="1"/>
      <c r="AA91" s="2">
        <f ca="1">IF(E69=0,D69*D4,IF(INDIRECT(K71)&gt;0,E69,D69*D4))</f>
        <v>314</v>
      </c>
    </row>
    <row r="92" spans="1:27" ht="15.45" x14ac:dyDescent="0.4">
      <c r="A92" s="43"/>
      <c r="B92" s="33"/>
      <c r="C92" s="57"/>
      <c r="D92" s="33"/>
      <c r="E92" s="46"/>
      <c r="F92" s="46"/>
      <c r="G92" s="33"/>
      <c r="H92" s="54"/>
      <c r="I92" s="8"/>
      <c r="J92" s="1"/>
      <c r="K92" s="1"/>
      <c r="L92" s="1"/>
      <c r="AA92" s="2">
        <f ca="1">IF(K72=0,0,HLOOKUP(A2,INDIRECT(K22),4, FALSE)*INDIRECT(K72)*0.01)</f>
        <v>0</v>
      </c>
    </row>
    <row r="93" spans="1:27" ht="15.45" x14ac:dyDescent="0.4">
      <c r="A93" s="43" t="s">
        <v>87</v>
      </c>
      <c r="B93" s="33"/>
      <c r="C93" s="57"/>
      <c r="D93" s="33"/>
      <c r="E93" s="46">
        <f ca="1">AA127</f>
        <v>11842.99</v>
      </c>
      <c r="F93" s="46">
        <f ca="1">AA128</f>
        <v>11842.99</v>
      </c>
      <c r="G93" s="47"/>
      <c r="H93" s="54"/>
      <c r="I93" s="8"/>
      <c r="J93" s="8"/>
      <c r="K93" s="4"/>
      <c r="L93" s="1"/>
      <c r="AA93" s="2">
        <f ca="1">H70/D4</f>
        <v>0</v>
      </c>
    </row>
    <row r="94" spans="1:27" ht="15.45" x14ac:dyDescent="0.4">
      <c r="A94" s="61"/>
      <c r="B94" s="27"/>
      <c r="C94" s="27"/>
      <c r="D94" s="33"/>
      <c r="E94" s="62" t="s">
        <v>21</v>
      </c>
      <c r="F94" s="62" t="s">
        <v>88</v>
      </c>
      <c r="G94" s="57"/>
      <c r="H94" s="54"/>
      <c r="I94" s="8"/>
      <c r="J94" s="8"/>
      <c r="K94" s="4"/>
      <c r="L94" s="1"/>
      <c r="AA94" s="2">
        <f ca="1">IF(E70=0,D70*D4,IF(INDIRECT(K72)&gt;0,E70,D70*D4))</f>
        <v>0</v>
      </c>
    </row>
    <row r="95" spans="1:27" ht="15.45" x14ac:dyDescent="0.4">
      <c r="A95" s="43" t="s">
        <v>89</v>
      </c>
      <c r="B95" s="33"/>
      <c r="C95" s="33"/>
      <c r="D95" s="33"/>
      <c r="E95" s="46">
        <f ca="1">AA129</f>
        <v>10990.01</v>
      </c>
      <c r="F95" s="46">
        <f ca="1">AA130</f>
        <v>10990.01</v>
      </c>
      <c r="G95" s="33"/>
      <c r="H95" s="49"/>
      <c r="I95" s="8"/>
      <c r="J95" s="8"/>
      <c r="K95" s="4"/>
      <c r="L95" s="1"/>
      <c r="AA95" s="2">
        <f ca="1">IF(K73=0,0,HLOOKUP(A2,INDIRECT(K22),5, FALSE)*INDIRECT(K73)*0.01)</f>
        <v>0</v>
      </c>
    </row>
    <row r="96" spans="1:27" ht="15.45" x14ac:dyDescent="0.4">
      <c r="A96" s="43" t="s">
        <v>90</v>
      </c>
      <c r="B96" s="33"/>
      <c r="C96" s="27"/>
      <c r="D96" s="33"/>
      <c r="E96" s="46">
        <f ca="1">AA131</f>
        <v>2351</v>
      </c>
      <c r="F96" s="46">
        <f ca="1">AA132</f>
        <v>2351</v>
      </c>
      <c r="G96" s="47"/>
      <c r="H96" s="54"/>
      <c r="I96" s="8"/>
      <c r="J96" s="8"/>
      <c r="K96" s="4"/>
      <c r="L96" s="1"/>
      <c r="AA96" s="2">
        <f ca="1">H71/D4</f>
        <v>0</v>
      </c>
    </row>
    <row r="97" spans="1:27" ht="15.45" x14ac:dyDescent="0.4">
      <c r="A97" s="61"/>
      <c r="B97" s="33"/>
      <c r="C97" s="57"/>
      <c r="D97" s="33"/>
      <c r="E97" s="62" t="s">
        <v>21</v>
      </c>
      <c r="F97" s="62" t="s">
        <v>88</v>
      </c>
      <c r="G97" s="47"/>
      <c r="H97" s="54"/>
      <c r="I97" s="8"/>
      <c r="J97" s="8"/>
      <c r="K97" s="1"/>
      <c r="L97" s="1"/>
      <c r="AA97" s="2">
        <f ca="1">IF(E71=0,D71*D4,IF(INDIRECT(K73)&gt;0,E71,D71*D4))</f>
        <v>0</v>
      </c>
    </row>
    <row r="98" spans="1:27" ht="15.45" x14ac:dyDescent="0.4">
      <c r="A98" s="43" t="s">
        <v>91</v>
      </c>
      <c r="B98" s="33"/>
      <c r="C98" s="57"/>
      <c r="D98" s="33"/>
      <c r="E98" s="46">
        <f ca="1">AA133</f>
        <v>8639.01</v>
      </c>
      <c r="F98" s="46">
        <f ca="1">AA134</f>
        <v>8639.01</v>
      </c>
      <c r="G98" s="27"/>
      <c r="H98" s="87"/>
      <c r="I98" s="8"/>
      <c r="J98" s="8"/>
      <c r="K98" s="1"/>
      <c r="L98" s="1"/>
      <c r="AA98" s="2">
        <f ca="1">IF(K74=0,0,HLOOKUP(A2,INDIRECT(K22),6, FALSE)*INDIRECT(K74)*0.01)</f>
        <v>0</v>
      </c>
    </row>
    <row r="99" spans="1:27" ht="15.45" x14ac:dyDescent="0.4">
      <c r="A99" s="61"/>
      <c r="B99" s="33"/>
      <c r="C99" s="27"/>
      <c r="D99" s="33"/>
      <c r="E99" s="57"/>
      <c r="F99" s="57"/>
      <c r="G99" s="47"/>
      <c r="H99" s="87"/>
      <c r="I99" s="8"/>
      <c r="J99" s="8"/>
      <c r="K99" s="1"/>
      <c r="L99" s="1"/>
      <c r="AA99" s="2">
        <f ca="1">H72/D4</f>
        <v>0</v>
      </c>
    </row>
    <row r="100" spans="1:27" ht="15.45" x14ac:dyDescent="0.4">
      <c r="A100" s="38"/>
      <c r="B100" s="38"/>
      <c r="C100" s="38"/>
      <c r="D100" s="38"/>
      <c r="E100" s="38"/>
      <c r="F100" s="38"/>
      <c r="G100" s="38"/>
      <c r="H100" s="38"/>
      <c r="I100" s="8"/>
      <c r="J100" s="1"/>
      <c r="K100" s="1"/>
      <c r="L100" s="1"/>
      <c r="AA100" s="2">
        <f ca="1">IF(E72=0,D72*D4,IF(INDIRECT(K74)&gt;0,E72,D72*D4))</f>
        <v>0</v>
      </c>
    </row>
    <row r="101" spans="1:27" ht="15.45" x14ac:dyDescent="0.4">
      <c r="A101" s="31"/>
      <c r="B101" s="27"/>
      <c r="C101" s="27"/>
      <c r="D101" s="27"/>
      <c r="E101" s="27"/>
      <c r="F101" s="27"/>
      <c r="G101" s="27"/>
      <c r="H101" s="35"/>
      <c r="I101" s="8"/>
      <c r="J101" s="1"/>
      <c r="K101" s="1"/>
      <c r="L101" s="1"/>
      <c r="AA101" s="2">
        <f ca="1">IF(K77=0,0,HLOOKUP(A2,INDIRECT(K22),7, FALSE)*INDIRECT(K77)*0.01)</f>
        <v>0</v>
      </c>
    </row>
    <row r="102" spans="1:27" ht="15.45" x14ac:dyDescent="0.4">
      <c r="A102" s="31"/>
      <c r="B102" s="27"/>
      <c r="C102" s="27"/>
      <c r="D102" s="27"/>
      <c r="E102" s="27"/>
      <c r="F102" s="27"/>
      <c r="G102" s="27"/>
      <c r="H102" s="35"/>
      <c r="I102" s="8"/>
      <c r="J102" s="8"/>
      <c r="K102" s="1"/>
      <c r="L102" s="1"/>
      <c r="AA102" s="2">
        <f ca="1">H75/D4</f>
        <v>840</v>
      </c>
    </row>
    <row r="103" spans="1:27" ht="15.45" x14ac:dyDescent="0.4">
      <c r="A103" s="31"/>
      <c r="B103" s="27"/>
      <c r="C103" s="27"/>
      <c r="D103" s="27"/>
      <c r="E103" s="27"/>
      <c r="F103" s="27"/>
      <c r="G103" s="27"/>
      <c r="H103" s="35"/>
      <c r="I103" s="8"/>
      <c r="J103" s="8"/>
      <c r="K103" s="1"/>
      <c r="L103" s="1"/>
      <c r="AA103" s="2">
        <f ca="1">IF(E75=0,J77,IF(INDIRECT(K77)&gt;0,E75,J77))</f>
        <v>840</v>
      </c>
    </row>
    <row r="104" spans="1:27" ht="15.45" x14ac:dyDescent="0.4">
      <c r="A104" s="43" t="s">
        <v>92</v>
      </c>
      <c r="B104" s="33"/>
      <c r="C104" s="33"/>
      <c r="D104" s="33"/>
      <c r="E104" s="29" t="s">
        <v>93</v>
      </c>
      <c r="F104" s="33"/>
      <c r="G104" s="53">
        <f ca="1">AA135</f>
        <v>1315.8877777777777</v>
      </c>
      <c r="H104" s="49"/>
      <c r="I104" s="8"/>
      <c r="J104" s="8"/>
      <c r="K104" s="1"/>
      <c r="L104" s="1"/>
      <c r="AA104" s="2">
        <f ca="1">H77/D4</f>
        <v>11842.99</v>
      </c>
    </row>
    <row r="105" spans="1:27" ht="15.45" x14ac:dyDescent="0.4">
      <c r="A105" s="61"/>
      <c r="B105" s="33"/>
      <c r="C105" s="33"/>
      <c r="D105" s="33"/>
      <c r="E105" s="29" t="s">
        <v>94</v>
      </c>
      <c r="F105" s="33"/>
      <c r="G105" s="53">
        <f ca="1">AA136</f>
        <v>261.22222222222223</v>
      </c>
      <c r="H105" s="87"/>
      <c r="I105" s="8"/>
      <c r="J105" s="8"/>
      <c r="K105" s="1"/>
      <c r="L105" s="1"/>
      <c r="AA105" s="3">
        <f ca="1">SUM(H24:H75)</f>
        <v>11842.99</v>
      </c>
    </row>
    <row r="106" spans="1:27" ht="15.45" x14ac:dyDescent="0.4">
      <c r="A106" s="61"/>
      <c r="B106" s="33"/>
      <c r="C106" s="27"/>
      <c r="D106" s="33"/>
      <c r="E106" s="33"/>
      <c r="F106" s="47"/>
      <c r="G106" s="62" t="s">
        <v>23</v>
      </c>
      <c r="H106" s="87"/>
      <c r="I106" s="8"/>
      <c r="J106" s="1"/>
      <c r="K106" s="1"/>
      <c r="L106" s="1"/>
      <c r="AA106" s="2">
        <f ca="1">ROUND(SUM(H24:H55,H57:H72)*C75*D75*0.0001,0)</f>
        <v>840</v>
      </c>
    </row>
    <row r="107" spans="1:27" ht="15.45" x14ac:dyDescent="0.4">
      <c r="A107" s="61"/>
      <c r="B107" s="33"/>
      <c r="C107" s="27"/>
      <c r="D107" s="33"/>
      <c r="E107" s="29" t="s">
        <v>95</v>
      </c>
      <c r="F107" s="47"/>
      <c r="G107" s="53">
        <f ca="1">AA137</f>
        <v>1577.11</v>
      </c>
      <c r="H107" s="87"/>
      <c r="I107" s="8"/>
      <c r="J107" s="1"/>
      <c r="K107" s="1"/>
      <c r="L107" s="1"/>
      <c r="AA107" s="2">
        <f ca="1">IF(K83=0,0,HLOOKUP(A2,INDIRECT(K22),9, FALSE)*INDIRECT(K83)*0.01)</f>
        <v>0</v>
      </c>
    </row>
    <row r="108" spans="1:27" ht="15.45" x14ac:dyDescent="0.4">
      <c r="A108" s="38"/>
      <c r="B108" s="38"/>
      <c r="C108" s="38"/>
      <c r="D108" s="38"/>
      <c r="E108" s="38"/>
      <c r="F108" s="38"/>
      <c r="G108" s="38"/>
      <c r="H108" s="38"/>
      <c r="I108" s="8"/>
      <c r="J108" s="1"/>
      <c r="K108" s="1"/>
      <c r="L108" s="1"/>
      <c r="AA108" s="2">
        <f ca="1">H81/D4</f>
        <v>414</v>
      </c>
    </row>
    <row r="109" spans="1:27" ht="15.45" x14ac:dyDescent="0.4">
      <c r="A109" s="43"/>
      <c r="B109" s="27"/>
      <c r="C109" s="27"/>
      <c r="D109" s="27"/>
      <c r="E109" s="27"/>
      <c r="F109" s="27"/>
      <c r="G109" s="27"/>
      <c r="H109" s="35"/>
      <c r="I109" s="8"/>
      <c r="J109" s="8"/>
      <c r="K109" s="1"/>
      <c r="L109" s="1"/>
      <c r="AA109" s="2">
        <f ca="1">IF(E81=0,D81*D4,IF(INDIRECT(K83)&gt;0,E81,D81*D4))</f>
        <v>414</v>
      </c>
    </row>
    <row r="110" spans="1:27" ht="15.45" x14ac:dyDescent="0.4">
      <c r="A110" s="61"/>
      <c r="B110" s="29" t="s">
        <v>96</v>
      </c>
      <c r="C110" s="57"/>
      <c r="D110" s="33"/>
      <c r="E110" s="33"/>
      <c r="F110" s="47"/>
      <c r="G110" s="88">
        <f ca="1">AA138</f>
        <v>0.85507687835250135</v>
      </c>
      <c r="H110" s="87"/>
      <c r="I110" s="8"/>
      <c r="J110" s="8"/>
      <c r="K110" s="1"/>
      <c r="L110" s="1"/>
      <c r="AA110" s="2">
        <f ca="1">IF(K84=0,0,HLOOKUP(A2,INDIRECT(K22),10, FALSE)*INDIRECT(K84)*0.01)</f>
        <v>0</v>
      </c>
    </row>
    <row r="111" spans="1:27" ht="15.45" x14ac:dyDescent="0.4">
      <c r="A111" s="61"/>
      <c r="B111" s="29" t="s">
        <v>97</v>
      </c>
      <c r="C111" s="57"/>
      <c r="D111" s="32">
        <v>0</v>
      </c>
      <c r="E111" s="29" t="s">
        <v>98</v>
      </c>
      <c r="F111" s="47"/>
      <c r="G111" s="88">
        <f ca="1">AA139</f>
        <v>0.85507687835250135</v>
      </c>
      <c r="H111" s="87"/>
      <c r="I111" s="8"/>
      <c r="J111" s="8"/>
      <c r="K111" s="4"/>
      <c r="L111" s="1"/>
      <c r="AA111" s="2">
        <f ca="1">H82/D4</f>
        <v>190</v>
      </c>
    </row>
    <row r="112" spans="1:27" ht="15.45" x14ac:dyDescent="0.4">
      <c r="A112" s="61"/>
      <c r="B112" s="29"/>
      <c r="C112" s="57"/>
      <c r="D112" s="89"/>
      <c r="E112" s="29"/>
      <c r="F112" s="47"/>
      <c r="G112" s="88"/>
      <c r="H112" s="87"/>
      <c r="I112" s="10">
        <f ca="1">AA141</f>
        <v>8639.01</v>
      </c>
      <c r="J112" s="8"/>
      <c r="K112" s="4"/>
      <c r="L112" s="1"/>
      <c r="AA112" s="2">
        <f ca="1">IF(E82=0,D82*D4,IF(INDIRECT(K84)&gt;0,E82,D82*D4))</f>
        <v>190</v>
      </c>
    </row>
    <row r="113" spans="1:27" ht="15.45" x14ac:dyDescent="0.4">
      <c r="A113" s="61"/>
      <c r="B113" s="90"/>
      <c r="C113" s="91" t="s">
        <v>132</v>
      </c>
      <c r="D113" s="92" t="s">
        <v>99</v>
      </c>
      <c r="E113" s="93"/>
      <c r="F113" s="33"/>
      <c r="G113" s="53">
        <f>AA140</f>
        <v>0.35745956254761424</v>
      </c>
      <c r="H113" s="94" t="str">
        <f>IF(G113&lt;=0.2499,"Low Risk",IF(AND(G113&gt;0.2499,G113&lt;0.4),"Moderate Risk","High Risk"))</f>
        <v>Moderate Risk</v>
      </c>
      <c r="I113" s="10">
        <f>AA142</f>
        <v>2.9150430000000003</v>
      </c>
      <c r="J113" s="8"/>
      <c r="K113" s="1"/>
      <c r="L113" s="1"/>
      <c r="AA113" s="2">
        <f ca="1">IF(K85=0,0,HLOOKUP(A2,INDIRECT(K22),11, FALSE)*INDIRECT(K85)*0.01)</f>
        <v>0</v>
      </c>
    </row>
    <row r="114" spans="1:27" ht="15.45" x14ac:dyDescent="0.4">
      <c r="A114" s="61"/>
      <c r="B114" s="33"/>
      <c r="C114" s="57"/>
      <c r="D114" s="33"/>
      <c r="E114" s="33"/>
      <c r="F114" s="33"/>
      <c r="G114" s="47"/>
      <c r="H114" s="95" t="s">
        <v>100</v>
      </c>
      <c r="I114" s="10">
        <f>AA143</f>
        <v>365</v>
      </c>
      <c r="J114" s="1"/>
      <c r="K114" s="1"/>
      <c r="L114" s="1"/>
      <c r="AA114" s="2">
        <f ca="1">H83/D4</f>
        <v>0</v>
      </c>
    </row>
    <row r="115" spans="1:27" ht="15.45" x14ac:dyDescent="0.4">
      <c r="A115" s="61"/>
      <c r="B115" s="27"/>
      <c r="C115" s="62" t="s">
        <v>101</v>
      </c>
      <c r="D115" s="62"/>
      <c r="E115" s="62" t="s">
        <v>102</v>
      </c>
      <c r="F115" s="47"/>
      <c r="G115" s="57"/>
      <c r="H115" s="95" t="s">
        <v>103</v>
      </c>
      <c r="I115" s="10">
        <f>AA144</f>
        <v>8161.8741916496756</v>
      </c>
      <c r="J115" s="1"/>
      <c r="K115" s="1"/>
      <c r="L115" s="1"/>
      <c r="AA115" s="2">
        <f ca="1">IF(E83=0,D83*D4,IF(INDIRECT(K85)&gt;0,E83,D83*D4))</f>
        <v>0</v>
      </c>
    </row>
    <row r="116" spans="1:27" ht="15.45" x14ac:dyDescent="0.4">
      <c r="A116" s="61"/>
      <c r="B116" s="33"/>
      <c r="C116" s="62"/>
      <c r="D116" s="96"/>
      <c r="E116" s="62" t="s">
        <v>104</v>
      </c>
      <c r="F116" s="27"/>
      <c r="G116" s="27"/>
      <c r="H116" s="95" t="s">
        <v>105</v>
      </c>
      <c r="I116" s="8"/>
      <c r="J116" s="8"/>
      <c r="K116" s="1"/>
      <c r="L116" s="1"/>
      <c r="AA116" s="2">
        <f ca="1">IF(K86=0,0,HLOOKUP(A2,INDIRECT(K22),12, FALSE)*INDIRECT(K86)*0.01)</f>
        <v>0</v>
      </c>
    </row>
    <row r="117" spans="1:27" ht="15.45" x14ac:dyDescent="0.4">
      <c r="A117" s="61"/>
      <c r="B117" s="33"/>
      <c r="C117" s="96"/>
      <c r="D117" s="96"/>
      <c r="E117" s="62"/>
      <c r="F117" s="47"/>
      <c r="G117" s="57"/>
      <c r="H117" s="95" t="s">
        <v>106</v>
      </c>
      <c r="I117" s="10">
        <f ca="1">AA147</f>
        <v>1.05845909862694</v>
      </c>
      <c r="J117" s="10">
        <f ca="1">AA148</f>
        <v>1.05845909862694</v>
      </c>
      <c r="K117" s="1"/>
      <c r="L117" s="1"/>
      <c r="AA117" s="2">
        <f>D84</f>
        <v>331</v>
      </c>
    </row>
    <row r="118" spans="1:27" ht="15.45" x14ac:dyDescent="0.4">
      <c r="A118" s="31"/>
      <c r="B118" s="27"/>
      <c r="C118" s="46">
        <f ca="1">AA145</f>
        <v>16556.027965900186</v>
      </c>
      <c r="D118" s="96"/>
      <c r="E118" s="62" t="s">
        <v>107</v>
      </c>
      <c r="F118" s="27"/>
      <c r="G118" s="27"/>
      <c r="H118" s="87"/>
      <c r="I118" s="10">
        <f ca="1">AA150</f>
        <v>0.80309449870608129</v>
      </c>
      <c r="J118" s="10">
        <f ca="1">AA151</f>
        <v>0.80309449870608129</v>
      </c>
      <c r="K118" s="4"/>
      <c r="L118" s="1"/>
      <c r="AA118" s="2">
        <f>G84*D4</f>
        <v>331</v>
      </c>
    </row>
    <row r="119" spans="1:27" ht="15.45" x14ac:dyDescent="0.4">
      <c r="A119" s="31"/>
      <c r="B119" s="27"/>
      <c r="C119" s="46">
        <f ca="1">AA146</f>
        <v>12148.615902409361</v>
      </c>
      <c r="D119" s="96"/>
      <c r="E119" s="62" t="s">
        <v>108</v>
      </c>
      <c r="F119" s="47"/>
      <c r="G119" s="27"/>
      <c r="H119" s="95" t="s">
        <v>109</v>
      </c>
      <c r="I119" s="10">
        <f ca="1">AA153</f>
        <v>0.22784120466643829</v>
      </c>
      <c r="J119" s="10">
        <f ca="1">AA154</f>
        <v>0.22784120466643829</v>
      </c>
      <c r="K119" s="4"/>
      <c r="L119" s="1"/>
      <c r="AA119" s="2">
        <f ca="1">H85/D4</f>
        <v>1416</v>
      </c>
    </row>
    <row r="120" spans="1:27" ht="15.45" x14ac:dyDescent="0.4">
      <c r="A120" s="61"/>
      <c r="B120" s="33"/>
      <c r="C120" s="46">
        <f ca="1">AA149</f>
        <v>8639.01</v>
      </c>
      <c r="D120" s="62"/>
      <c r="E120" s="62" t="s">
        <v>110</v>
      </c>
      <c r="F120" s="57"/>
      <c r="G120" s="57"/>
      <c r="H120" s="95" t="s">
        <v>111</v>
      </c>
      <c r="I120" s="10">
        <f ca="1">AA156</f>
        <v>0.14492312164749863</v>
      </c>
      <c r="J120" s="10">
        <f ca="1">AA157</f>
        <v>0.14492312164749863</v>
      </c>
      <c r="K120" s="1"/>
      <c r="L120" s="1"/>
      <c r="AA120" s="2">
        <f ca="1">IF(E85=0,D85*D4,IF(INDIRECT(K86)&gt;0,E85,D85*D4))</f>
        <v>1416</v>
      </c>
    </row>
    <row r="121" spans="1:27" ht="15.45" x14ac:dyDescent="0.4">
      <c r="A121" s="61"/>
      <c r="B121" s="27"/>
      <c r="C121" s="46">
        <f ca="1">AA152</f>
        <v>5129.4040975906391</v>
      </c>
      <c r="D121" s="96"/>
      <c r="E121" s="62" t="s">
        <v>112</v>
      </c>
      <c r="F121" s="47"/>
      <c r="G121" s="57"/>
      <c r="H121" s="95" t="s">
        <v>113</v>
      </c>
      <c r="I121" s="8"/>
      <c r="J121" s="8"/>
      <c r="K121" s="8"/>
      <c r="L121" s="1"/>
      <c r="AA121" s="2">
        <f ca="1">H87/D4</f>
        <v>2351</v>
      </c>
    </row>
    <row r="122" spans="1:27" ht="15.45" x14ac:dyDescent="0.4">
      <c r="A122" s="31"/>
      <c r="B122" s="27"/>
      <c r="C122" s="46">
        <f ca="1">AA155</f>
        <v>721.9920340998151</v>
      </c>
      <c r="D122" s="96"/>
      <c r="E122" s="62" t="s">
        <v>114</v>
      </c>
      <c r="F122" s="47"/>
      <c r="G122" s="57"/>
      <c r="H122" s="95" t="s">
        <v>115</v>
      </c>
      <c r="I122" s="8"/>
      <c r="J122" s="8"/>
      <c r="K122" s="8"/>
      <c r="L122" s="1"/>
      <c r="AA122" s="3">
        <f ca="1">SUM(H81:H85)</f>
        <v>2351</v>
      </c>
    </row>
    <row r="123" spans="1:27" ht="15.45" x14ac:dyDescent="0.4">
      <c r="A123" s="61"/>
      <c r="B123" s="27"/>
      <c r="C123" s="57"/>
      <c r="D123" s="27"/>
      <c r="E123" s="33"/>
      <c r="F123" s="33"/>
      <c r="G123" s="27"/>
      <c r="H123" s="34" t="s">
        <v>116</v>
      </c>
      <c r="I123" s="1"/>
      <c r="J123" s="1"/>
      <c r="K123" s="1"/>
      <c r="L123" s="1"/>
      <c r="AA123" s="2">
        <f>E8*E9</f>
        <v>22833</v>
      </c>
    </row>
    <row r="124" spans="1:27" ht="15.45" x14ac:dyDescent="0.4">
      <c r="A124" s="61"/>
      <c r="B124" s="29"/>
      <c r="C124" s="27"/>
      <c r="D124" s="33"/>
      <c r="E124" s="60"/>
      <c r="F124" s="47"/>
      <c r="G124" s="57"/>
      <c r="H124" s="49"/>
      <c r="I124" s="8"/>
      <c r="J124" s="1"/>
      <c r="K124" s="1"/>
      <c r="L124" s="1"/>
      <c r="AA124" s="2">
        <f>E91*D4</f>
        <v>22833</v>
      </c>
    </row>
    <row r="125" spans="1:27" ht="15.45" x14ac:dyDescent="0.4">
      <c r="A125" s="97"/>
      <c r="B125" s="98"/>
      <c r="C125" s="98"/>
      <c r="D125" s="98"/>
      <c r="E125" s="98"/>
      <c r="F125" s="98"/>
      <c r="G125" s="98"/>
      <c r="H125" s="99"/>
      <c r="I125" s="8"/>
      <c r="J125" s="1"/>
      <c r="K125" s="4"/>
      <c r="L125" s="1"/>
      <c r="AA125" s="2">
        <f>IF(E57=1,D17,0)</f>
        <v>756.15841152215171</v>
      </c>
    </row>
    <row r="126" spans="1:27" ht="15.45" x14ac:dyDescent="0.4">
      <c r="A126" s="100"/>
      <c r="B126" s="101"/>
      <c r="C126" s="101"/>
      <c r="D126" s="102" t="s">
        <v>136</v>
      </c>
      <c r="E126" s="101"/>
      <c r="F126" s="101"/>
      <c r="G126" s="101"/>
      <c r="H126" s="103"/>
      <c r="I126" s="8"/>
      <c r="J126" s="1"/>
      <c r="K126" s="1"/>
      <c r="L126" s="1"/>
      <c r="AA126" s="2">
        <f>E92*D4</f>
        <v>0</v>
      </c>
    </row>
    <row r="127" spans="1:27" ht="15.45" x14ac:dyDescent="0.4">
      <c r="A127" s="104"/>
      <c r="B127" s="101"/>
      <c r="C127" s="101"/>
      <c r="D127" s="101"/>
      <c r="E127" s="101"/>
      <c r="F127" s="101"/>
      <c r="G127" s="101"/>
      <c r="H127" s="103"/>
      <c r="I127" s="8"/>
      <c r="J127" s="1"/>
      <c r="K127" s="1"/>
      <c r="L127" s="1"/>
      <c r="AA127" s="2">
        <f ca="1">F93/D4</f>
        <v>11842.99</v>
      </c>
    </row>
    <row r="128" spans="1:27" ht="15.45" x14ac:dyDescent="0.4">
      <c r="A128" s="105"/>
      <c r="B128" s="101"/>
      <c r="C128" s="101"/>
      <c r="D128" s="105" t="s">
        <v>137</v>
      </c>
      <c r="E128" s="106"/>
      <c r="F128" s="106"/>
      <c r="G128" s="101"/>
      <c r="H128" s="103"/>
      <c r="I128" s="8"/>
      <c r="J128" s="1"/>
      <c r="K128" s="1"/>
      <c r="L128" s="1"/>
      <c r="AA128" s="3">
        <f ca="1">H77</f>
        <v>11842.99</v>
      </c>
    </row>
    <row r="129" spans="1:27" ht="15.45" x14ac:dyDescent="0.4">
      <c r="A129" s="107"/>
      <c r="B129" s="101"/>
      <c r="C129" s="101"/>
      <c r="D129" s="105" t="s">
        <v>138</v>
      </c>
      <c r="E129" s="106"/>
      <c r="F129" s="106"/>
      <c r="G129" s="101"/>
      <c r="H129" s="103"/>
      <c r="I129" s="8"/>
      <c r="J129" s="8"/>
      <c r="K129" s="1"/>
      <c r="L129" s="1"/>
      <c r="AA129" s="2">
        <f ca="1">F95/D4</f>
        <v>10990.01</v>
      </c>
    </row>
    <row r="130" spans="1:27" ht="15.45" x14ac:dyDescent="0.4">
      <c r="A130" s="104"/>
      <c r="B130" s="101"/>
      <c r="C130" s="101"/>
      <c r="D130" s="108" t="s">
        <v>139</v>
      </c>
      <c r="E130" s="106"/>
      <c r="F130" s="106"/>
      <c r="G130" s="101"/>
      <c r="H130" s="103"/>
      <c r="I130" s="8"/>
      <c r="J130" s="8"/>
      <c r="K130" s="8"/>
      <c r="L130" s="1"/>
      <c r="AA130" s="3">
        <f ca="1">SUM(F91:F92)-F93</f>
        <v>10990.01</v>
      </c>
    </row>
    <row r="131" spans="1:27" ht="15.45" x14ac:dyDescent="0.4">
      <c r="A131" s="104"/>
      <c r="B131" s="101"/>
      <c r="C131" s="101"/>
      <c r="D131" s="109" t="s">
        <v>140</v>
      </c>
      <c r="E131" s="106"/>
      <c r="F131" s="106"/>
      <c r="G131" s="101"/>
      <c r="H131" s="103"/>
      <c r="I131" s="1"/>
      <c r="J131" s="1"/>
      <c r="K131" s="4"/>
      <c r="L131" s="1"/>
      <c r="AA131" s="2">
        <f ca="1">F96/D4</f>
        <v>2351</v>
      </c>
    </row>
    <row r="132" spans="1:27" ht="15.45" x14ac:dyDescent="0.4">
      <c r="A132" s="110"/>
      <c r="B132" s="111"/>
      <c r="C132" s="111"/>
      <c r="D132" s="116" t="s">
        <v>143</v>
      </c>
      <c r="E132" s="112"/>
      <c r="F132" s="112"/>
      <c r="G132" s="113"/>
      <c r="H132" s="114"/>
      <c r="I132" s="8"/>
      <c r="J132" s="8"/>
      <c r="K132" s="8"/>
      <c r="L132" s="1"/>
      <c r="AA132" s="3">
        <f ca="1">H87</f>
        <v>2351</v>
      </c>
    </row>
    <row r="133" spans="1:27" ht="15.45" x14ac:dyDescent="0.4">
      <c r="A133" s="117" t="s">
        <v>144</v>
      </c>
      <c r="B133" s="118"/>
      <c r="C133" s="118"/>
      <c r="D133" s="119"/>
      <c r="E133" s="119"/>
      <c r="F133" s="120"/>
      <c r="G133" s="120"/>
      <c r="H133" s="118"/>
      <c r="I133" s="8"/>
      <c r="J133" s="8"/>
      <c r="K133" s="8"/>
      <c r="L133" s="1"/>
      <c r="AA133" s="3">
        <f ca="1">E95-E96</f>
        <v>8639.01</v>
      </c>
    </row>
    <row r="134" spans="1:27" ht="11.6" x14ac:dyDescent="0.3">
      <c r="A134" s="15"/>
      <c r="B134" s="13"/>
      <c r="C134" s="13"/>
      <c r="D134" s="13"/>
      <c r="E134" s="16"/>
      <c r="F134" s="16"/>
      <c r="G134" s="13"/>
      <c r="H134" s="19"/>
      <c r="I134" s="8"/>
      <c r="J134" s="8"/>
      <c r="K134" s="8"/>
      <c r="L134" s="1"/>
      <c r="AA134" s="3">
        <f ca="1">F95-F96</f>
        <v>8639.01</v>
      </c>
    </row>
    <row r="135" spans="1:27" ht="11.6" x14ac:dyDescent="0.3">
      <c r="A135" s="13"/>
      <c r="B135" s="13"/>
      <c r="C135" s="15"/>
      <c r="D135" s="13"/>
      <c r="E135" s="13"/>
      <c r="F135" s="13"/>
      <c r="G135" s="13"/>
      <c r="H135" s="13"/>
      <c r="I135" s="8"/>
      <c r="J135" s="8"/>
      <c r="K135" s="8"/>
      <c r="L135" s="1"/>
      <c r="AA135" s="2">
        <f ca="1">E93/E8</f>
        <v>1315.8877777777777</v>
      </c>
    </row>
    <row r="136" spans="1:27" ht="11.6" x14ac:dyDescent="0.3">
      <c r="A136" s="15"/>
      <c r="B136" s="13"/>
      <c r="C136" s="15"/>
      <c r="D136" s="13"/>
      <c r="E136" s="16"/>
      <c r="F136" s="16"/>
      <c r="G136" s="16"/>
      <c r="H136" s="16"/>
      <c r="I136" s="8"/>
      <c r="J136" s="8"/>
      <c r="K136" s="8"/>
      <c r="L136" s="1"/>
      <c r="AA136" s="2">
        <f ca="1">E96/E8</f>
        <v>261.22222222222223</v>
      </c>
    </row>
    <row r="137" spans="1:27" ht="11.6" x14ac:dyDescent="0.3">
      <c r="A137" s="15"/>
      <c r="B137" s="13"/>
      <c r="C137" s="13"/>
      <c r="D137" s="13"/>
      <c r="E137" s="16"/>
      <c r="F137" s="16"/>
      <c r="G137" s="16"/>
      <c r="H137" s="16"/>
      <c r="I137" s="1"/>
      <c r="J137" s="1"/>
      <c r="K137" s="1"/>
      <c r="L137" s="1"/>
      <c r="AA137" s="9">
        <f ca="1">G104+G105</f>
        <v>1577.11</v>
      </c>
    </row>
    <row r="138" spans="1:27" ht="11.6" x14ac:dyDescent="0.3">
      <c r="A138" s="13"/>
      <c r="B138" s="13"/>
      <c r="C138" s="16"/>
      <c r="D138" s="13"/>
      <c r="E138" s="13"/>
      <c r="F138" s="13"/>
      <c r="G138" s="16"/>
      <c r="H138" s="16"/>
      <c r="I138" s="1"/>
      <c r="J138" s="1"/>
      <c r="K138" s="1"/>
      <c r="L138" s="1"/>
      <c r="AA138" s="2">
        <f ca="1">IF(I112&gt;0,1-I120,I120)</f>
        <v>0.85507687835250135</v>
      </c>
    </row>
    <row r="139" spans="1:27" ht="11.6" x14ac:dyDescent="0.3">
      <c r="A139" s="15"/>
      <c r="B139" s="13"/>
      <c r="C139" s="16"/>
      <c r="D139" s="13"/>
      <c r="E139" s="16"/>
      <c r="F139" s="16"/>
      <c r="G139" s="16"/>
      <c r="H139" s="16"/>
      <c r="I139" s="1"/>
      <c r="J139" s="1"/>
      <c r="K139" s="1"/>
      <c r="L139" s="1"/>
      <c r="AA139" s="2">
        <f ca="1">IF(I112-D111&gt;0,1-J120,J120)</f>
        <v>0.85507687835250135</v>
      </c>
    </row>
    <row r="140" spans="1:27" ht="11.6" x14ac:dyDescent="0.3">
      <c r="A140" s="13"/>
      <c r="B140" s="13"/>
      <c r="C140" s="16"/>
      <c r="D140" s="13"/>
      <c r="E140" s="13"/>
      <c r="F140" s="14"/>
      <c r="G140" s="16"/>
      <c r="H140" s="16"/>
      <c r="I140" s="20" t="s">
        <v>133</v>
      </c>
      <c r="J140" s="1"/>
      <c r="K140" s="1"/>
      <c r="L140" s="1"/>
      <c r="AA140" s="2">
        <f>I115/E91</f>
        <v>0.35745956254761424</v>
      </c>
    </row>
    <row r="141" spans="1:27" ht="11.6" x14ac:dyDescent="0.3">
      <c r="A141" s="15"/>
      <c r="B141" s="13"/>
      <c r="C141" s="16"/>
      <c r="D141" s="13"/>
      <c r="E141" s="13"/>
      <c r="F141" s="13"/>
      <c r="G141" s="14"/>
      <c r="H141" s="19"/>
      <c r="I141" s="20" t="s">
        <v>134</v>
      </c>
      <c r="J141" s="1"/>
      <c r="K141" s="1"/>
      <c r="L141" s="1"/>
      <c r="AA141" s="3">
        <f ca="1">E98</f>
        <v>8639.01</v>
      </c>
    </row>
    <row r="142" spans="1:27" ht="11.6" x14ac:dyDescent="0.3">
      <c r="A142" s="13"/>
      <c r="B142" s="13"/>
      <c r="C142" s="16"/>
      <c r="D142" s="13"/>
      <c r="E142" s="13"/>
      <c r="F142" s="14"/>
      <c r="G142" s="14"/>
      <c r="H142" s="16"/>
      <c r="I142" s="20" t="s">
        <v>135</v>
      </c>
      <c r="J142" s="1"/>
      <c r="K142" s="1"/>
      <c r="L142" s="1"/>
      <c r="AA142" s="2">
        <f>IF(E57=1,0.19465*E8+0.66805*((C8-G8)/2)-0.20342*D14,(C8-G8)/2)</f>
        <v>2.9150430000000003</v>
      </c>
    </row>
    <row r="143" spans="1:27" ht="11.6" x14ac:dyDescent="0.3">
      <c r="A143" s="13"/>
      <c r="B143" s="13"/>
      <c r="C143" s="15"/>
      <c r="D143" s="13"/>
      <c r="E143" s="14"/>
      <c r="F143" s="14"/>
      <c r="G143" s="13"/>
      <c r="H143" s="16"/>
      <c r="I143" s="1"/>
      <c r="J143" s="1"/>
      <c r="K143" s="1"/>
      <c r="L143" s="1"/>
      <c r="AA143" s="2">
        <f>(C9-G9)/2</f>
        <v>365</v>
      </c>
    </row>
    <row r="144" spans="1:27" ht="11.6" x14ac:dyDescent="0.3">
      <c r="A144" s="13"/>
      <c r="B144" s="13"/>
      <c r="C144" s="13"/>
      <c r="D144" s="13"/>
      <c r="E144" s="13"/>
      <c r="F144" s="14"/>
      <c r="G144" s="14"/>
      <c r="H144" s="16"/>
      <c r="I144" s="1"/>
      <c r="J144" s="1"/>
      <c r="K144" s="1"/>
      <c r="L144" s="1"/>
      <c r="AA144" s="2">
        <f>SQRT((E8*I114)^2+(E9*I113)^2+(I113*I114)^2)</f>
        <v>8161.8741916496756</v>
      </c>
    </row>
    <row r="145" spans="1:27" ht="11.6" x14ac:dyDescent="0.3">
      <c r="A145" s="13"/>
      <c r="B145" s="13"/>
      <c r="C145" s="13"/>
      <c r="D145" s="13"/>
      <c r="E145" s="13"/>
      <c r="F145" s="13"/>
      <c r="G145" s="13"/>
      <c r="H145" s="13"/>
      <c r="I145" s="8"/>
      <c r="J145" s="1"/>
      <c r="K145" s="1"/>
      <c r="L145" s="1"/>
      <c r="AA145" s="2">
        <f ca="1">I112+0.97*I115</f>
        <v>16556.027965900186</v>
      </c>
    </row>
    <row r="146" spans="1:27" ht="11.6" x14ac:dyDescent="0.3">
      <c r="A146" s="13"/>
      <c r="B146" s="13"/>
      <c r="C146" s="13"/>
      <c r="D146" s="13"/>
      <c r="E146" s="14"/>
      <c r="F146" s="14"/>
      <c r="G146" s="18"/>
      <c r="H146" s="16"/>
      <c r="I146" s="8"/>
      <c r="J146" s="1"/>
      <c r="K146" s="1"/>
      <c r="L146" s="1"/>
      <c r="AA146" s="2">
        <f ca="1">I112+0.43*I115</f>
        <v>12148.615902409361</v>
      </c>
    </row>
    <row r="147" spans="1:27" ht="11.6" x14ac:dyDescent="0.3">
      <c r="A147" s="13"/>
      <c r="B147" s="13"/>
      <c r="C147" s="13"/>
      <c r="D147" s="15"/>
      <c r="E147" s="13"/>
      <c r="F147" s="14"/>
      <c r="G147" s="18"/>
      <c r="H147" s="16"/>
      <c r="I147" s="8"/>
      <c r="J147" s="1"/>
      <c r="K147" s="1"/>
      <c r="L147" s="1"/>
      <c r="AA147" s="2">
        <f ca="1">ABS(I112/I115)</f>
        <v>1.05845909862694</v>
      </c>
    </row>
    <row r="148" spans="1:27" ht="11.6" x14ac:dyDescent="0.3">
      <c r="A148" s="13"/>
      <c r="B148" s="13"/>
      <c r="C148" s="15"/>
      <c r="D148" s="13"/>
      <c r="E148" s="15"/>
      <c r="F148" s="18"/>
      <c r="G148" s="14"/>
      <c r="H148" s="19"/>
      <c r="I148" s="8"/>
      <c r="J148" s="1"/>
      <c r="K148" s="1"/>
      <c r="L148" s="1"/>
      <c r="AA148" s="2">
        <f ca="1">ABS((I112-D111)/I115)</f>
        <v>1.05845909862694</v>
      </c>
    </row>
    <row r="149" spans="1:27" ht="11.6" x14ac:dyDescent="0.3">
      <c r="A149" s="13"/>
      <c r="B149" s="13"/>
      <c r="C149" s="15"/>
      <c r="D149" s="13"/>
      <c r="E149" s="14"/>
      <c r="F149" s="14"/>
      <c r="G149" s="16"/>
      <c r="H149" s="19"/>
      <c r="I149" s="8"/>
      <c r="J149" s="1"/>
      <c r="K149" s="1"/>
      <c r="L149" s="1"/>
      <c r="AA149" s="11">
        <f ca="1">I112</f>
        <v>8639.01</v>
      </c>
    </row>
    <row r="150" spans="1:27" ht="11.6" x14ac:dyDescent="0.3">
      <c r="A150" s="13"/>
      <c r="B150" s="13"/>
      <c r="C150" s="13"/>
      <c r="D150" s="13"/>
      <c r="E150" s="13"/>
      <c r="F150" s="14"/>
      <c r="G150" s="16"/>
      <c r="H150" s="19"/>
      <c r="I150" s="8"/>
      <c r="J150" s="8"/>
      <c r="K150" s="1"/>
      <c r="L150" s="1"/>
      <c r="AA150" s="2">
        <f ca="1">1/(1+(0.2316419*I117))</f>
        <v>0.80309449870608129</v>
      </c>
    </row>
    <row r="151" spans="1:27" ht="11.6" x14ac:dyDescent="0.3">
      <c r="A151" s="13"/>
      <c r="B151" s="13"/>
      <c r="C151" s="16"/>
      <c r="D151" s="13"/>
      <c r="E151" s="13"/>
      <c r="F151" s="13"/>
      <c r="G151" s="19"/>
      <c r="H151" s="19"/>
      <c r="I151" s="8"/>
      <c r="J151" s="8"/>
      <c r="K151" s="1"/>
      <c r="L151" s="1"/>
      <c r="AA151" s="2">
        <f ca="1">1/(1+(0.2316419*J117))</f>
        <v>0.80309449870608129</v>
      </c>
    </row>
    <row r="152" spans="1:27" ht="11.6" x14ac:dyDescent="0.3">
      <c r="A152" s="13"/>
      <c r="B152" s="13"/>
      <c r="C152" s="16"/>
      <c r="D152" s="13"/>
      <c r="E152" s="14"/>
      <c r="F152" s="14"/>
      <c r="G152" s="16"/>
      <c r="H152" s="19"/>
      <c r="I152" s="8"/>
      <c r="J152" s="8"/>
      <c r="K152" s="1"/>
      <c r="L152" s="1"/>
      <c r="AA152" s="2">
        <f ca="1">I112-0.43*I115</f>
        <v>5129.4040975906391</v>
      </c>
    </row>
    <row r="153" spans="1:27" ht="11.6" x14ac:dyDescent="0.3">
      <c r="A153" s="13"/>
      <c r="B153" s="13"/>
      <c r="C153" s="16"/>
      <c r="D153" s="13"/>
      <c r="E153" s="13"/>
      <c r="F153" s="14"/>
      <c r="G153" s="16"/>
      <c r="H153" s="16"/>
      <c r="I153" s="8"/>
      <c r="J153" s="8"/>
      <c r="K153" s="1"/>
      <c r="L153" s="1"/>
      <c r="AA153" s="2">
        <f ca="1">0.398942281*EXP(I117^2/-2)</f>
        <v>0.22784120466643829</v>
      </c>
    </row>
    <row r="154" spans="1:27" ht="11.6" x14ac:dyDescent="0.3">
      <c r="A154" s="13"/>
      <c r="B154" s="16"/>
      <c r="C154" s="16"/>
      <c r="D154" s="13"/>
      <c r="E154" s="13"/>
      <c r="F154" s="14"/>
      <c r="G154" s="16"/>
      <c r="H154" s="19"/>
      <c r="I154" s="8"/>
      <c r="J154" s="8"/>
      <c r="K154" s="1"/>
      <c r="L154" s="1"/>
      <c r="AA154" s="2">
        <f ca="1">0.398942281*EXP(J117^2/-2)</f>
        <v>0.22784120466643829</v>
      </c>
    </row>
    <row r="155" spans="1:27" ht="11.6" x14ac:dyDescent="0.3">
      <c r="A155" s="13"/>
      <c r="B155" s="16"/>
      <c r="C155" s="16"/>
      <c r="D155" s="13"/>
      <c r="E155" s="13"/>
      <c r="F155" s="13"/>
      <c r="G155" s="19"/>
      <c r="H155" s="19"/>
      <c r="I155" s="8"/>
      <c r="J155" s="8"/>
      <c r="K155" s="1"/>
      <c r="L155" s="1"/>
      <c r="AA155" s="2">
        <f ca="1">I112-0.97*I115</f>
        <v>721.9920340998151</v>
      </c>
    </row>
    <row r="156" spans="1:27" ht="11.6" x14ac:dyDescent="0.3">
      <c r="A156" s="13"/>
      <c r="B156" s="16"/>
      <c r="C156" s="16"/>
      <c r="D156" s="13"/>
      <c r="E156" s="13"/>
      <c r="F156" s="13"/>
      <c r="G156" s="17"/>
      <c r="H156" s="19"/>
      <c r="I156" s="8"/>
      <c r="J156" s="1"/>
      <c r="K156" s="1"/>
      <c r="L156" s="1"/>
      <c r="AA156" s="2">
        <f ca="1">I119*(0.31938153*I118-0.356563782*I118^2+1.781477937*I118^3-1.821255978*I118^4+1.330274429*I118^5)</f>
        <v>0.14492312164749863</v>
      </c>
    </row>
    <row r="157" spans="1:27" ht="11.6" x14ac:dyDescent="0.3">
      <c r="A157" s="13"/>
      <c r="B157" s="15"/>
      <c r="C157" s="16"/>
      <c r="D157" s="13"/>
      <c r="E157" s="13"/>
      <c r="F157" s="13"/>
      <c r="G157" s="19"/>
      <c r="H157" s="19"/>
      <c r="I157" s="1"/>
      <c r="J157" s="1"/>
      <c r="K157" s="1"/>
      <c r="L157" s="1"/>
      <c r="AA157" s="2">
        <f ca="1">J119*(0.31938153*J118-0.356563782*J118^2+1.781477937*J118^3-1.821255978*J118^4+1.330274429*J118^5)</f>
        <v>0.14492312164749863</v>
      </c>
    </row>
    <row r="158" spans="1:27" ht="11.6" x14ac:dyDescent="0.3">
      <c r="A158" s="13"/>
      <c r="B158" s="13"/>
      <c r="C158" s="13"/>
      <c r="D158" s="13"/>
      <c r="E158" s="13"/>
      <c r="F158" s="13"/>
      <c r="G158" s="13"/>
      <c r="H158" s="19"/>
      <c r="I158" s="1"/>
      <c r="J158" s="1"/>
      <c r="K158" s="1"/>
      <c r="L158" s="1"/>
    </row>
    <row r="159" spans="1:27" ht="11.6" x14ac:dyDescent="0.3">
      <c r="A159" s="13"/>
      <c r="B159" s="13"/>
      <c r="C159" s="13"/>
      <c r="D159" s="13"/>
      <c r="E159" s="15"/>
      <c r="F159" s="13"/>
      <c r="G159" s="13"/>
      <c r="H159" s="13"/>
      <c r="I159" s="1"/>
      <c r="J159" s="1"/>
      <c r="K159" s="1"/>
      <c r="L159" s="1"/>
    </row>
    <row r="160" spans="1:27" ht="11.6" x14ac:dyDescent="0.3">
      <c r="A160" s="13"/>
      <c r="B160" s="13"/>
      <c r="C160" s="13"/>
      <c r="D160" s="13"/>
      <c r="E160" s="13"/>
      <c r="F160" s="13"/>
      <c r="G160" s="13"/>
      <c r="H160" s="13"/>
      <c r="I160" s="1"/>
      <c r="J160" s="1"/>
      <c r="K160" s="1"/>
      <c r="L160" s="1"/>
    </row>
    <row r="161" spans="1:12" ht="11.6" x14ac:dyDescent="0.3">
      <c r="A161" s="13"/>
      <c r="B161" s="13"/>
      <c r="C161" s="13"/>
      <c r="D161" s="13"/>
      <c r="E161" s="13"/>
      <c r="F161" s="13"/>
      <c r="G161" s="13"/>
      <c r="H161" s="13"/>
      <c r="I161" s="1"/>
      <c r="J161" s="1"/>
      <c r="K161" s="1"/>
      <c r="L161" s="1"/>
    </row>
    <row r="162" spans="1:12" ht="11.6" x14ac:dyDescent="0.3">
      <c r="A162" s="13"/>
      <c r="B162" s="13"/>
      <c r="C162" s="13"/>
      <c r="D162" s="16"/>
      <c r="E162" s="13"/>
      <c r="F162" s="13"/>
      <c r="G162" s="13"/>
      <c r="H162" s="13"/>
      <c r="I162" s="1"/>
      <c r="J162" s="1"/>
      <c r="K162" s="1"/>
      <c r="L162" s="1"/>
    </row>
    <row r="163" spans="1:12" ht="11.6" x14ac:dyDescent="0.3">
      <c r="A163" s="13"/>
      <c r="B163" s="13"/>
      <c r="C163" s="13"/>
      <c r="D163" s="13"/>
      <c r="E163" s="13"/>
      <c r="F163" s="13"/>
      <c r="G163" s="13"/>
      <c r="H163" s="13"/>
      <c r="I163" s="1"/>
      <c r="J163" s="1"/>
      <c r="K163" s="1"/>
      <c r="L163" s="1"/>
    </row>
    <row r="164" spans="1:12" ht="11.6" x14ac:dyDescent="0.3">
      <c r="A164" s="13"/>
      <c r="B164" s="13"/>
      <c r="C164" s="13"/>
      <c r="D164" s="13"/>
      <c r="E164" s="13"/>
      <c r="F164" s="13"/>
      <c r="G164" s="13"/>
      <c r="H164" s="13"/>
      <c r="I164" s="1"/>
      <c r="J164" s="1"/>
      <c r="K164" s="1"/>
      <c r="L164" s="1"/>
    </row>
    <row r="165" spans="1:12" ht="11.6" x14ac:dyDescent="0.3">
      <c r="A165" s="13"/>
      <c r="B165" s="13"/>
      <c r="C165" s="13"/>
      <c r="D165" s="13"/>
      <c r="E165" s="13"/>
      <c r="F165" s="13"/>
      <c r="G165" s="13"/>
      <c r="H165" s="13"/>
      <c r="I165" s="1"/>
      <c r="J165" s="1"/>
      <c r="K165" s="1"/>
      <c r="L165" s="1"/>
    </row>
    <row r="166" spans="1:12" ht="11.6" x14ac:dyDescent="0.3">
      <c r="A166" s="13"/>
      <c r="B166" s="13"/>
      <c r="C166" s="13"/>
      <c r="D166" s="13"/>
      <c r="E166" s="13"/>
      <c r="F166" s="13"/>
      <c r="G166" s="13"/>
      <c r="H166" s="13"/>
      <c r="I166" s="1"/>
      <c r="J166" s="1"/>
      <c r="K166" s="1"/>
      <c r="L166" s="1"/>
    </row>
    <row r="167" spans="1:12" ht="11.6" x14ac:dyDescent="0.3">
      <c r="A167" s="13"/>
      <c r="B167" s="13"/>
      <c r="C167" s="13"/>
      <c r="D167" s="13"/>
      <c r="E167" s="13"/>
      <c r="F167" s="13"/>
      <c r="G167" s="13"/>
      <c r="H167" s="13"/>
      <c r="I167" s="1"/>
      <c r="J167" s="1"/>
      <c r="K167" s="1"/>
      <c r="L167" s="1"/>
    </row>
    <row r="168" spans="1:12" ht="11.6" x14ac:dyDescent="0.3">
      <c r="A168" s="13"/>
      <c r="B168" s="13"/>
      <c r="C168" s="13"/>
      <c r="D168" s="13"/>
      <c r="E168" s="13"/>
      <c r="F168" s="13"/>
      <c r="G168" s="13"/>
      <c r="H168" s="13"/>
      <c r="I168" s="1"/>
      <c r="J168" s="1"/>
      <c r="K168" s="1"/>
      <c r="L168" s="1"/>
    </row>
    <row r="169" spans="1:12" ht="11.6" x14ac:dyDescent="0.3">
      <c r="A169" s="13"/>
      <c r="B169" s="13"/>
      <c r="C169" s="13"/>
      <c r="D169" s="13"/>
      <c r="E169" s="13"/>
      <c r="F169" s="13"/>
      <c r="G169" s="13"/>
      <c r="H169" s="13"/>
      <c r="I169" s="1"/>
      <c r="J169" s="1"/>
      <c r="K169" s="1"/>
      <c r="L169" s="1"/>
    </row>
    <row r="170" spans="1:12" ht="11.6" x14ac:dyDescent="0.3">
      <c r="A170" s="13"/>
      <c r="B170" s="13"/>
      <c r="C170" s="13"/>
      <c r="D170" s="13"/>
      <c r="E170" s="13"/>
      <c r="F170" s="13"/>
      <c r="G170" s="13"/>
      <c r="H170" s="13"/>
      <c r="I170" s="1"/>
      <c r="J170" s="1"/>
      <c r="K170" s="1"/>
      <c r="L170" s="1"/>
    </row>
    <row r="171" spans="1:12" ht="11.6" x14ac:dyDescent="0.3">
      <c r="A171" s="13"/>
      <c r="B171" s="13"/>
      <c r="C171" s="13"/>
      <c r="D171" s="13"/>
      <c r="E171" s="13"/>
      <c r="F171" s="13"/>
      <c r="G171" s="13"/>
      <c r="H171" s="13"/>
      <c r="I171" s="1"/>
      <c r="J171" s="1"/>
      <c r="K171" s="1"/>
      <c r="L171" s="1"/>
    </row>
    <row r="172" spans="1:12" ht="11.6" x14ac:dyDescent="0.3">
      <c r="A172" s="13"/>
      <c r="B172" s="13"/>
      <c r="C172" s="13"/>
      <c r="D172" s="13"/>
      <c r="E172" s="13"/>
      <c r="F172" s="13"/>
      <c r="G172" s="13"/>
      <c r="H172" s="13"/>
      <c r="I172" s="1"/>
      <c r="J172" s="1"/>
      <c r="K172" s="1"/>
      <c r="L172" s="1"/>
    </row>
    <row r="173" spans="1:12" ht="11.6" x14ac:dyDescent="0.3">
      <c r="A173" s="13"/>
      <c r="B173" s="13"/>
      <c r="C173" s="13"/>
      <c r="D173" s="13"/>
      <c r="E173" s="13"/>
      <c r="F173" s="13"/>
      <c r="G173" s="13"/>
      <c r="H173" s="13"/>
      <c r="I173" s="1"/>
      <c r="J173" s="1"/>
      <c r="K173" s="1"/>
      <c r="L173" s="1"/>
    </row>
    <row r="174" spans="1:12" ht="11.6" x14ac:dyDescent="0.3">
      <c r="A174" s="13"/>
      <c r="B174" s="13"/>
      <c r="C174" s="13"/>
      <c r="D174" s="13"/>
      <c r="E174" s="13"/>
      <c r="F174" s="13"/>
      <c r="G174" s="13"/>
      <c r="H174" s="13"/>
      <c r="I174" s="1"/>
      <c r="J174" s="1"/>
      <c r="K174" s="1"/>
      <c r="L174" s="1"/>
    </row>
    <row r="175" spans="1:12" ht="11.6" x14ac:dyDescent="0.3">
      <c r="A175" s="13"/>
      <c r="B175" s="13"/>
      <c r="C175" s="13"/>
      <c r="D175" s="13"/>
      <c r="E175" s="13"/>
      <c r="F175" s="13"/>
      <c r="G175" s="13"/>
      <c r="H175" s="13"/>
      <c r="I175" s="1"/>
      <c r="J175" s="1"/>
      <c r="K175" s="1"/>
      <c r="L175" s="1"/>
    </row>
    <row r="176" spans="1:12" ht="11.6" x14ac:dyDescent="0.3">
      <c r="A176" s="13"/>
      <c r="B176" s="13"/>
      <c r="C176" s="13"/>
      <c r="D176" s="13"/>
      <c r="E176" s="13"/>
      <c r="F176" s="13"/>
      <c r="G176" s="13"/>
      <c r="H176" s="13"/>
      <c r="I176" s="1"/>
      <c r="J176" s="1"/>
      <c r="K176" s="1"/>
      <c r="L176" s="1"/>
    </row>
    <row r="177" spans="1:12" ht="11.6" x14ac:dyDescent="0.3">
      <c r="A177" s="13"/>
      <c r="B177" s="13"/>
      <c r="C177" s="13"/>
      <c r="D177" s="13"/>
      <c r="E177" s="13"/>
      <c r="F177" s="13"/>
      <c r="G177" s="13"/>
      <c r="H177" s="13"/>
      <c r="I177" s="1"/>
      <c r="J177" s="1"/>
      <c r="K177" s="1"/>
      <c r="L177" s="1"/>
    </row>
    <row r="178" spans="1:12" ht="11.6" x14ac:dyDescent="0.3">
      <c r="A178" s="13"/>
      <c r="B178" s="13"/>
      <c r="C178" s="13"/>
      <c r="D178" s="13"/>
      <c r="E178" s="13"/>
      <c r="F178" s="13"/>
      <c r="G178" s="13"/>
      <c r="H178" s="13"/>
      <c r="I178" s="1"/>
      <c r="J178" s="1"/>
      <c r="K178" s="1"/>
      <c r="L178" s="1"/>
    </row>
    <row r="179" spans="1:12" ht="11.6" x14ac:dyDescent="0.3">
      <c r="A179" s="13"/>
      <c r="B179" s="13"/>
      <c r="C179" s="13"/>
      <c r="D179" s="13"/>
      <c r="E179" s="13"/>
      <c r="F179" s="13"/>
      <c r="G179" s="13"/>
      <c r="H179" s="13"/>
      <c r="I179" s="1"/>
      <c r="J179" s="1"/>
      <c r="K179" s="1"/>
      <c r="L179" s="1"/>
    </row>
    <row r="180" spans="1:12" ht="11.6" x14ac:dyDescent="0.3">
      <c r="A180" s="13"/>
      <c r="B180" s="13"/>
      <c r="C180" s="13"/>
      <c r="D180" s="13"/>
      <c r="E180" s="13"/>
      <c r="F180" s="13"/>
      <c r="G180" s="13"/>
      <c r="H180" s="13"/>
      <c r="I180" s="1"/>
      <c r="J180" s="1"/>
      <c r="K180" s="1"/>
      <c r="L180" s="1"/>
    </row>
    <row r="181" spans="1:12" ht="11.6" x14ac:dyDescent="0.3">
      <c r="A181" s="13"/>
      <c r="B181" s="13"/>
      <c r="C181" s="13"/>
      <c r="D181" s="13"/>
      <c r="E181" s="13"/>
      <c r="F181" s="13"/>
      <c r="G181" s="13"/>
      <c r="H181" s="13"/>
      <c r="I181" s="1"/>
      <c r="J181" s="1"/>
      <c r="K181" s="1"/>
      <c r="L181" s="1"/>
    </row>
    <row r="182" spans="1:12" ht="11.6" x14ac:dyDescent="0.3">
      <c r="A182" s="13"/>
      <c r="B182" s="13"/>
      <c r="C182" s="13"/>
      <c r="D182" s="13"/>
      <c r="E182" s="13"/>
      <c r="F182" s="13"/>
      <c r="G182" s="13"/>
      <c r="H182" s="13"/>
      <c r="I182" s="1"/>
      <c r="J182" s="1"/>
      <c r="K182" s="1"/>
      <c r="L182" s="1"/>
    </row>
    <row r="183" spans="1:12" ht="11.6" x14ac:dyDescent="0.3">
      <c r="A183" s="13"/>
      <c r="B183" s="13"/>
      <c r="C183" s="13"/>
      <c r="D183" s="13"/>
      <c r="E183" s="13"/>
      <c r="F183" s="13"/>
      <c r="G183" s="13"/>
      <c r="H183" s="13"/>
      <c r="I183" s="1"/>
      <c r="J183" s="1"/>
      <c r="K183" s="1"/>
      <c r="L183" s="1"/>
    </row>
    <row r="184" spans="1:12" ht="11.6" x14ac:dyDescent="0.3">
      <c r="A184" s="13"/>
      <c r="B184" s="13"/>
      <c r="C184" s="13"/>
      <c r="D184" s="13"/>
      <c r="E184" s="13"/>
      <c r="F184" s="13"/>
      <c r="G184" s="13"/>
      <c r="H184" s="13"/>
      <c r="I184" s="1"/>
      <c r="J184" s="1"/>
      <c r="K184" s="1"/>
      <c r="L184" s="1"/>
    </row>
    <row r="185" spans="1:12" ht="11.6" x14ac:dyDescent="0.3">
      <c r="A185" s="13"/>
      <c r="B185" s="13"/>
      <c r="C185" s="13"/>
      <c r="D185" s="13"/>
      <c r="E185" s="13"/>
      <c r="F185" s="13"/>
      <c r="G185" s="13"/>
      <c r="H185" s="13"/>
      <c r="I185" s="1"/>
      <c r="J185" s="1"/>
      <c r="K185" s="1"/>
      <c r="L185" s="1"/>
    </row>
    <row r="186" spans="1:12" ht="11.6" x14ac:dyDescent="0.3">
      <c r="A186" s="13"/>
      <c r="B186" s="13"/>
      <c r="C186" s="13"/>
      <c r="D186" s="13"/>
      <c r="E186" s="13"/>
      <c r="F186" s="13"/>
      <c r="G186" s="13"/>
      <c r="H186" s="13"/>
      <c r="I186" s="1"/>
      <c r="J186" s="1"/>
      <c r="K186" s="1"/>
      <c r="L186" s="1"/>
    </row>
    <row r="187" spans="1:12" ht="11.6" x14ac:dyDescent="0.3">
      <c r="A187" s="13"/>
      <c r="B187" s="13"/>
      <c r="C187" s="13"/>
      <c r="D187" s="13"/>
      <c r="E187" s="13"/>
      <c r="F187" s="13"/>
      <c r="G187" s="13"/>
      <c r="H187" s="13"/>
      <c r="I187" s="1"/>
      <c r="J187" s="1"/>
      <c r="K187" s="1"/>
      <c r="L187" s="1"/>
    </row>
    <row r="188" spans="1:12" ht="11.6" x14ac:dyDescent="0.3">
      <c r="A188" s="13"/>
      <c r="B188" s="13"/>
      <c r="C188" s="13"/>
      <c r="D188" s="13"/>
      <c r="E188" s="13"/>
      <c r="F188" s="13"/>
      <c r="G188" s="13"/>
      <c r="H188" s="13"/>
      <c r="I188" s="1"/>
      <c r="J188" s="1"/>
      <c r="K188" s="1"/>
      <c r="L188" s="1"/>
    </row>
    <row r="189" spans="1:12" ht="11.6" x14ac:dyDescent="0.3">
      <c r="A189" s="13"/>
      <c r="B189" s="13"/>
      <c r="C189" s="13"/>
      <c r="D189" s="13"/>
      <c r="E189" s="13"/>
      <c r="F189" s="13"/>
      <c r="G189" s="13"/>
      <c r="H189" s="13"/>
      <c r="I189" s="1"/>
      <c r="J189" s="1"/>
      <c r="K189" s="1"/>
      <c r="L189" s="1"/>
    </row>
    <row r="190" spans="1:12" ht="11.6" x14ac:dyDescent="0.3">
      <c r="A190" s="13"/>
      <c r="B190" s="13"/>
      <c r="C190" s="13"/>
      <c r="D190" s="13"/>
      <c r="E190" s="13"/>
      <c r="F190" s="13"/>
      <c r="G190" s="13"/>
      <c r="H190" s="13"/>
      <c r="I190" s="1"/>
      <c r="J190" s="1"/>
      <c r="K190" s="1"/>
      <c r="L190" s="1"/>
    </row>
    <row r="191" spans="1:12" ht="11.6" x14ac:dyDescent="0.3">
      <c r="A191" s="13"/>
      <c r="B191" s="13"/>
      <c r="C191" s="13"/>
      <c r="D191" s="13"/>
      <c r="E191" s="13"/>
      <c r="F191" s="13"/>
      <c r="G191" s="13"/>
      <c r="H191" s="13"/>
      <c r="I191" s="1"/>
      <c r="J191" s="1"/>
      <c r="K191" s="1"/>
      <c r="L191" s="1"/>
    </row>
    <row r="192" spans="1:12" ht="11.6" x14ac:dyDescent="0.3">
      <c r="A192" s="13"/>
      <c r="B192" s="13"/>
      <c r="C192" s="13"/>
      <c r="D192" s="13"/>
      <c r="E192" s="13"/>
      <c r="F192" s="13"/>
      <c r="G192" s="13"/>
      <c r="H192" s="13"/>
      <c r="I192" s="1"/>
      <c r="J192" s="1"/>
      <c r="K192" s="1"/>
      <c r="L192" s="1"/>
    </row>
    <row r="193" spans="1:12" ht="11.6" x14ac:dyDescent="0.3">
      <c r="A193" s="13"/>
      <c r="B193" s="13"/>
      <c r="C193" s="13"/>
      <c r="D193" s="13"/>
      <c r="E193" s="13"/>
      <c r="F193" s="13"/>
      <c r="G193" s="13"/>
      <c r="H193" s="13"/>
      <c r="I193" s="1"/>
      <c r="J193" s="1"/>
      <c r="K193" s="1"/>
      <c r="L193" s="1"/>
    </row>
    <row r="194" spans="1:12" ht="11.6" x14ac:dyDescent="0.3">
      <c r="A194" s="13"/>
      <c r="B194" s="13"/>
      <c r="C194" s="13"/>
      <c r="D194" s="13"/>
      <c r="E194" s="13"/>
      <c r="F194" s="13"/>
      <c r="G194" s="13"/>
      <c r="H194" s="13"/>
      <c r="I194" s="1"/>
      <c r="J194" s="1"/>
      <c r="K194" s="1"/>
      <c r="L194" s="1"/>
    </row>
    <row r="195" spans="1:12" ht="11.6" x14ac:dyDescent="0.3">
      <c r="A195" s="13"/>
      <c r="B195" s="13"/>
      <c r="C195" s="13"/>
      <c r="D195" s="13"/>
      <c r="E195" s="13"/>
      <c r="F195" s="13"/>
      <c r="G195" s="13"/>
      <c r="H195" s="13"/>
      <c r="I195" s="1"/>
      <c r="J195" s="1"/>
      <c r="K195" s="1"/>
      <c r="L195" s="1"/>
    </row>
    <row r="196" spans="1:12" ht="11.6" x14ac:dyDescent="0.3">
      <c r="A196" s="13"/>
      <c r="B196" s="13"/>
      <c r="C196" s="13"/>
      <c r="D196" s="13"/>
      <c r="E196" s="13"/>
      <c r="F196" s="13"/>
      <c r="G196" s="13"/>
      <c r="H196" s="13"/>
      <c r="I196" s="1"/>
      <c r="J196" s="1"/>
      <c r="K196" s="1"/>
      <c r="L196" s="1"/>
    </row>
    <row r="197" spans="1:12" ht="11.6" x14ac:dyDescent="0.3">
      <c r="A197" s="13"/>
      <c r="B197" s="13"/>
      <c r="C197" s="13"/>
      <c r="D197" s="13"/>
      <c r="E197" s="13"/>
      <c r="F197" s="13"/>
      <c r="G197" s="13"/>
      <c r="H197" s="13"/>
      <c r="I197" s="1"/>
      <c r="J197" s="1"/>
      <c r="K197" s="1"/>
      <c r="L197" s="1"/>
    </row>
    <row r="198" spans="1:12" ht="11.6" x14ac:dyDescent="0.3">
      <c r="A198" s="13"/>
      <c r="B198" s="13"/>
      <c r="C198" s="13"/>
      <c r="D198" s="13"/>
      <c r="E198" s="13"/>
      <c r="F198" s="13"/>
      <c r="G198" s="13"/>
      <c r="H198" s="13"/>
      <c r="I198" s="1"/>
      <c r="J198" s="1"/>
      <c r="K198" s="1"/>
      <c r="L198" s="1"/>
    </row>
    <row r="199" spans="1:12" ht="11.6" x14ac:dyDescent="0.3">
      <c r="A199" s="13"/>
      <c r="B199" s="13"/>
      <c r="C199" s="13"/>
      <c r="D199" s="13"/>
      <c r="E199" s="13"/>
      <c r="F199" s="13"/>
      <c r="G199" s="13"/>
      <c r="H199" s="13"/>
      <c r="I199" s="1"/>
      <c r="J199" s="1"/>
      <c r="K199" s="1"/>
      <c r="L199" s="1"/>
    </row>
    <row r="200" spans="1:12" ht="11.6" x14ac:dyDescent="0.3">
      <c r="A200" s="13"/>
      <c r="B200" s="13"/>
      <c r="C200" s="13"/>
      <c r="D200" s="13"/>
      <c r="E200" s="13"/>
      <c r="F200" s="13"/>
      <c r="G200" s="13"/>
      <c r="H200" s="13"/>
      <c r="I200" s="1"/>
      <c r="J200" s="1"/>
      <c r="K200" s="1"/>
      <c r="L200" s="1"/>
    </row>
    <row r="201" spans="1:12" ht="11.6" x14ac:dyDescent="0.3">
      <c r="A201" s="13"/>
      <c r="B201" s="13"/>
      <c r="C201" s="13"/>
      <c r="D201" s="13"/>
      <c r="E201" s="13"/>
      <c r="F201" s="13"/>
      <c r="G201" s="13"/>
      <c r="H201" s="13"/>
      <c r="I201" s="1"/>
      <c r="J201" s="1"/>
      <c r="K201" s="1"/>
      <c r="L201" s="1"/>
    </row>
    <row r="202" spans="1:12" ht="12" x14ac:dyDescent="0.35">
      <c r="A202" s="13"/>
      <c r="B202" s="13"/>
      <c r="C202" s="13"/>
      <c r="D202" s="13"/>
      <c r="E202" s="13"/>
      <c r="F202" s="13"/>
      <c r="G202" s="13"/>
      <c r="H202" s="13"/>
      <c r="I202" s="12"/>
      <c r="J202" s="12"/>
      <c r="K202" s="12"/>
    </row>
    <row r="203" spans="1:12" ht="12" x14ac:dyDescent="0.35">
      <c r="A203" s="13"/>
      <c r="B203" s="13"/>
      <c r="C203" s="13"/>
      <c r="D203" s="13"/>
      <c r="E203" s="13"/>
      <c r="F203" s="13"/>
      <c r="G203" s="13"/>
      <c r="H203" s="13"/>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D0swSY5eDk4pfKZmEZRONzNzQQIpal+f2B6WPB7fw+Xi2BX79xWQL4lutJ0AXqALDJxMs1ALQ70nCrPc0Bvg==" saltValue="dIOeI7hKdfx1/aQu4nz3MQ==" spinCount="100000" sheet="1" objects="1" scenarios="1"/>
  <phoneticPr fontId="0" type="noConversion"/>
  <conditionalFormatting sqref="H113">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30" r:id="rId1" xr:uid="{00000000-0004-0000-0000-000000000000}"/>
    <hyperlink ref="D132" r:id="rId2" xr:uid="{4DE10A5E-308C-4A42-99AF-711BD0D63ACF}"/>
  </hyperlinks>
  <pageMargins left="0.75" right="0.75" top="1" bottom="1" header="0.5" footer="0.5"/>
  <pageSetup scale="71" orientation="portrait" blackAndWhite="1" r:id="rId3"/>
  <headerFooter alignWithMargins="0">
    <oddHeader xml:space="preserve">&amp;L                                                                        </oddHeader>
    <oddFooter>&amp;CPage -&amp;P-&amp;R</oddFooter>
  </headerFooter>
  <rowBreaks count="2" manualBreakCount="2">
    <brk id="51" max="26" man="1"/>
    <brk id="100" max="26" man="1"/>
  </rowBreaks>
  <colBreaks count="1" manualBreakCount="1">
    <brk id="8" min="1" max="131" man="1"/>
  </colBreak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8B1C4EC8-6BB0-4825-B320-12BCCADCF673}"/>
</file>

<file path=customXml/itemProps2.xml><?xml version="1.0" encoding="utf-8"?>
<ds:datastoreItem xmlns:ds="http://schemas.openxmlformats.org/officeDocument/2006/customXml" ds:itemID="{95AE6AFE-2D65-463D-A0CD-D8D18664DB9F}"/>
</file>

<file path=customXml/itemProps3.xml><?xml version="1.0" encoding="utf-8"?>
<ds:datastoreItem xmlns:ds="http://schemas.openxmlformats.org/officeDocument/2006/customXml" ds:itemID="{AC997B6A-6524-4452-9711-CDE6081FDDC2}"/>
</file>

<file path=customXml/itemProps4.xml><?xml version="1.0" encoding="utf-8"?>
<ds:datastoreItem xmlns:ds="http://schemas.openxmlformats.org/officeDocument/2006/customXml" ds:itemID="{CBC6D202-A090-4213-83FF-8E36C9401126}"/>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Nectrin</vt:lpstr>
      <vt:lpstr>Nectrin!Print_Area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Nectrin</dc:title>
  <dc:subject>Bear2000</dc:subject>
  <dc:creator>Molenhuis, John (OMAFRA)</dc:creator>
  <cp:lastModifiedBy>Molenhuis, John (OMAFRA)</cp:lastModifiedBy>
  <cp:lastPrinted>2011-06-06T18:30:36Z</cp:lastPrinted>
  <dcterms:created xsi:type="dcterms:W3CDTF">2000-03-03T00:38:00Z</dcterms:created>
  <dcterms:modified xsi:type="dcterms:W3CDTF">2024-04-18T14:55:49Z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2020-06-09T14:57:37.8606823Z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755d65a0-aa32-4f1e-aa3c-6689b9a09fbf</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