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45" yWindow="3255" windowWidth="15045" windowHeight="10410" tabRatio="601" activeTab="0"/>
  </bookViews>
  <sheets>
    <sheet name="Dai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0">'Dairy'!$AJ$6457</definedName>
    <definedName name="\0">#REF!</definedName>
    <definedName name="\a">'Dairy'!$AJ$6590</definedName>
    <definedName name="\a">#REF!</definedName>
    <definedName name="\e">'Dairy'!$AJ$6614:$AJ$6625</definedName>
    <definedName name="\e">#REF!</definedName>
    <definedName name="\h">'Dairy'!$AJ$6524</definedName>
    <definedName name="\h">#REF!</definedName>
    <definedName name="\m">'Dairy'!$AJ$6546</definedName>
    <definedName name="\m">#REF!</definedName>
    <definedName name="\n">'Dairy'!$AJ$6539</definedName>
    <definedName name="\n">#REF!</definedName>
    <definedName name="\p">'Dairy'!$AJ$6733</definedName>
    <definedName name="\p">#REF!</definedName>
    <definedName name="\s">'Dairy'!$AJ$6531:$AJ$6536</definedName>
    <definedName name="\s">#REF!</definedName>
    <definedName name="\t">'Dairy'!$AJ$6599</definedName>
    <definedName name="\t">#REF!</definedName>
    <definedName name="\u">'Dairy'!$AJ$6731</definedName>
    <definedName name="\u">#REF!</definedName>
    <definedName name="\z">'Dairy'!$AJ$6789</definedName>
    <definedName name="\z">#REF!</definedName>
    <definedName name="_Key1" hidden="1">'Dairy'!$IQ$38:$IQ$41</definedName>
    <definedName name="_Key1" hidden="1">#REF!</definedName>
    <definedName name="_Order1" hidden="1">255</definedName>
    <definedName name="_Parse_In" hidden="1">'Dairy'!$H$127:$H$129</definedName>
    <definedName name="_Parse_In" hidden="1">#REF!</definedName>
    <definedName name="_Parse_Out" hidden="1">'Dairy'!$H$131</definedName>
    <definedName name="_Parse_Out" hidden="1">#REF!</definedName>
    <definedName name="_Regression_Int" hidden="1">1</definedName>
    <definedName name="_Sort" hidden="1">'Dairy'!$IP$38:$IV$41</definedName>
    <definedName name="_Sort" hidden="1">#REF!</definedName>
    <definedName name="_Table2_In1" hidden="1">'Dairy'!$BU$51</definedName>
    <definedName name="_Table2_In1" hidden="1">#REF!</definedName>
    <definedName name="_Table2_In2" hidden="1">'Dairy'!$BU$52</definedName>
    <definedName name="_Table2_In2" hidden="1">#REF!</definedName>
    <definedName name="_Table2_Out" hidden="1">'Dairy'!$BV$14:$CD$46</definedName>
    <definedName name="_Table2_Out" hidden="1">#REF!</definedName>
    <definedName name="ALLO">'Dairy'!$BJ$6459:$BQ$6470</definedName>
    <definedName name="ALLO">#REF!</definedName>
    <definedName name="ALLOAC">'Dairy'!$AJ$6630</definedName>
    <definedName name="ALLOAC">#REF!</definedName>
    <definedName name="ALLOAC2">'Dairy'!$AJ$6635</definedName>
    <definedName name="ALLOAC2">#REF!</definedName>
    <definedName name="ALLOAC3">'Dairy'!$AJ$6636</definedName>
    <definedName name="ALLOAC3">#REF!</definedName>
    <definedName name="ALLOAC4">'Dairy'!$AJ$6637</definedName>
    <definedName name="ALLOAC4">#REF!</definedName>
    <definedName name="ALLOAC5">'Dairy'!$AJ$6638</definedName>
    <definedName name="ALLOAC5">#REF!</definedName>
    <definedName name="ALLOAC6">'Dairy'!$AJ$6639</definedName>
    <definedName name="ALLOAC6">#REF!</definedName>
    <definedName name="ALLOAC7">'Dairy'!$AJ$6640</definedName>
    <definedName name="ALLOAC7">#REF!</definedName>
    <definedName name="ALLOAC8">'Dairy'!$AJ$6641</definedName>
    <definedName name="ALLOAC8">#REF!</definedName>
    <definedName name="ALLOACEND">'Dairy'!$AJ$6642</definedName>
    <definedName name="ALLOACEND">#REF!</definedName>
    <definedName name="ALLOALL">'Dairy'!$BJ$6458:$BQ$6470</definedName>
    <definedName name="ALLOALL">#REF!</definedName>
    <definedName name="ALLOENTER">'Dairy'!$BJ$6460:$BQ$6470</definedName>
    <definedName name="ALLOENTER">#REF!</definedName>
    <definedName name="ALLOREC">'Dairy'!$BI$6457</definedName>
    <definedName name="ALLOREC">#REF!</definedName>
    <definedName name="ALLOTOTAL">'Dairy'!$BJ$6460:$BR$6472</definedName>
    <definedName name="ALLOTOTAL">#REF!</definedName>
    <definedName name="ALTERNATE">'Dairy'!$AW$6519</definedName>
    <definedName name="ALTERNATE">#REF!</definedName>
    <definedName name="AMARK">'Dairy'!$AJ$6589</definedName>
    <definedName name="AMARK">#REF!</definedName>
    <definedName name="ANALNAME">'Dairy'!$CO$6466</definedName>
    <definedName name="ANALNAME">#REF!</definedName>
    <definedName name="ASSIGN">'Dairy'!#REF!</definedName>
    <definedName name="ASSIGN">#REF!</definedName>
    <definedName name="BACK">'Dairy'!$AJ$6783</definedName>
    <definedName name="BACK">#REF!</definedName>
    <definedName name="BARLEY1">#REF!</definedName>
    <definedName name="BEARDRV">'Dairy'!$AJ$6695</definedName>
    <definedName name="BEARDRV">#REF!</definedName>
    <definedName name="BRINGIN">'Dairy'!$AJ$6471</definedName>
    <definedName name="BRINGIN">#REF!</definedName>
    <definedName name="BRINGINALL">'Dairy'!$AJ$6457:$AJ$6496</definedName>
    <definedName name="BRINGINALL">#REF!</definedName>
    <definedName name="CATTLE">'Dairy'!$AW$6488</definedName>
    <definedName name="CATTLE">#REF!</definedName>
    <definedName name="CHOICES">'Dairy'!$AW$6663</definedName>
    <definedName name="CHOICES">#REF!</definedName>
    <definedName name="COLE">'Dairy'!$AW$6609</definedName>
    <definedName name="COLE">#REF!</definedName>
    <definedName name="CORN1">'[2]CORN'!$A$1:$K$159</definedName>
    <definedName name="CORNER">'Dairy'!$AJ$6465</definedName>
    <definedName name="CORNER">#REF!</definedName>
    <definedName name="CORR">#REF!</definedName>
    <definedName name="COUNTER">'Dairy'!$AJ$6463</definedName>
    <definedName name="COUNTER">#REF!</definedName>
    <definedName name="COUNTER2">'Dairy'!$AJ$6498</definedName>
    <definedName name="COUNTER2">#REF!</definedName>
    <definedName name="CRIT">'Dairy'!$BM$6502:$BM$6503</definedName>
    <definedName name="CRIT">#REF!</definedName>
    <definedName name="CRITERIA">'Dairy'!$BN$46:$BN$49</definedName>
    <definedName name="Criteria_MI">'Dairy'!$BN$46:$BN$49</definedName>
    <definedName name="Criteria_MI">#REF!</definedName>
    <definedName name="CROPS">'Dairy'!$AW$6472</definedName>
    <definedName name="CROPS">#REF!</definedName>
    <definedName name="DAIRKG1">'[13]Dairkg'!$A$1:$K$300</definedName>
    <definedName name="DAIRY1">'Dairy'!$A$1:$AE$303</definedName>
    <definedName name="DATABASE">'Dairy'!$BJ$31:$BV$31</definedName>
    <definedName name="Database_MI">'Dairy'!$BJ$31:$BV$31</definedName>
    <definedName name="Database_MI">#REF!</definedName>
    <definedName name="DCHECK">'Dairy'!$AW$6704:$AX$6708</definedName>
    <definedName name="DCHECK">#REF!</definedName>
    <definedName name="DCNT">'Dairy'!$AJ$6504</definedName>
    <definedName name="DCNT">#REF!</definedName>
    <definedName name="DEFAULT">'Dairy'!$AJ$6579</definedName>
    <definedName name="DEFAULT">#REF!</definedName>
    <definedName name="DEPT1">'Dairy'!$A$6619:$H$6686</definedName>
    <definedName name="DEPT1">#REF!</definedName>
    <definedName name="DGOAT1">'[10]DGOAT'!$A$1:$K$300</definedName>
    <definedName name="DHEIFER1">'[12]DHEIFER'!$A$1:$K$200</definedName>
    <definedName name="DRIVES">'Dairy'!$AW$6739:$AZ$6745</definedName>
    <definedName name="DRIVES">#REF!</definedName>
    <definedName name="DUD7">'Dairy'!$BQ$6488:$BQ$6495</definedName>
    <definedName name="DUD7">#REF!</definedName>
    <definedName name="E_1">'Dairy'!$AJ$6616</definedName>
    <definedName name="E_1">#REF!</definedName>
    <definedName name="ECHECK">'Dairy'!$AW$6710:$AX$6714</definedName>
    <definedName name="ECHECK">#REF!</definedName>
    <definedName name="ENT1">'Dairy'!$AJ$6646</definedName>
    <definedName name="ENT1">#REF!</definedName>
    <definedName name="ENT2">'Dairy'!$AJ$6648</definedName>
    <definedName name="ENT2">#REF!</definedName>
    <definedName name="ENT3">'Dairy'!$AJ$6650</definedName>
    <definedName name="ENT3">#REF!</definedName>
    <definedName name="ENT4">'Dairy'!$AJ$6652</definedName>
    <definedName name="ENT4">#REF!</definedName>
    <definedName name="ENT5">'Dairy'!$AJ$6654</definedName>
    <definedName name="ENT5">#REF!</definedName>
    <definedName name="ENT6">'Dairy'!$AJ$6656</definedName>
    <definedName name="ENT6">#REF!</definedName>
    <definedName name="ENT7">'Dairy'!$AJ$6658</definedName>
    <definedName name="ENT7">#REF!</definedName>
    <definedName name="ENT8">'Dairy'!$AJ$6660</definedName>
    <definedName name="ENT8">#REF!</definedName>
    <definedName name="ENTERPRISE">'Dairy'!$AJ$6466</definedName>
    <definedName name="ENTERPRISE">#REF!</definedName>
    <definedName name="ENTNAME">'Dairy'!$AJ$6467</definedName>
    <definedName name="ENTNAME">#REF!</definedName>
    <definedName name="ENTNO">'Dairy'!$AJ$6468</definedName>
    <definedName name="ENTNO">#REF!</definedName>
    <definedName name="ENTS">'Dairy'!$AW$6464</definedName>
    <definedName name="ENTS">#REF!</definedName>
    <definedName name="ERASE">'Dairy'!$AJ$6554</definedName>
    <definedName name="ERASE">#REF!</definedName>
    <definedName name="ERRMSG">'Dairy'!$AJ$6852</definedName>
    <definedName name="ERRMSG">#REF!</definedName>
    <definedName name="ESCROUTE">'Dairy'!$AJ$6838</definedName>
    <definedName name="ESCROUTE">#REF!</definedName>
    <definedName name="EVERGREEN">'Dairy'!$AW$6639:$AY$6643</definedName>
    <definedName name="EVERGREEN">'[6]turkey'!$AC$6630:$AE$6634</definedName>
    <definedName name="EXCLUDE">'Dairy'!#REF!</definedName>
    <definedName name="EXCLUDE">#REF!</definedName>
    <definedName name="EXPORT">'Dairy'!#REF!</definedName>
    <definedName name="EXPORT">#REF!</definedName>
    <definedName name="FARM">'Dairy'!$AW$6673</definedName>
    <definedName name="FARM">#REF!</definedName>
    <definedName name="FARMNAME">'Dairy'!$CO$6463</definedName>
    <definedName name="FARMNAME">#REF!</definedName>
    <definedName name="FIELD">'Dairy'!$BI$6487:$BU$6495</definedName>
    <definedName name="FIELD">#REF!</definedName>
    <definedName name="FILE_EXT">'Dairy'!$AJ$6582</definedName>
    <definedName name="FILE_EXT">#REF!</definedName>
    <definedName name="FILE_PATH">'Dairy'!$AJ$6479</definedName>
    <definedName name="FILE_PATH">#REF!</definedName>
    <definedName name="FILEOPS">'Dairy'!$AW$6680:$BD$6685</definedName>
    <definedName name="FILEOPS">#REF!</definedName>
    <definedName name="FNAME">'Dairy'!$AJ$6693</definedName>
    <definedName name="FNAME">#REF!</definedName>
    <definedName name="FORAGE">'Dairy'!$AW$6543</definedName>
    <definedName name="FORAGE">#REF!</definedName>
    <definedName name="FORMAT">'Dairy'!$AW$6753</definedName>
    <definedName name="FORMAT">#REF!</definedName>
    <definedName name="FRFRUIT">'Dairy'!$AW$6596</definedName>
    <definedName name="FRFRUIT">'[13]Dairkg'!$AC$6593</definedName>
    <definedName name="FRUIT">'Dairy'!$AW$6558</definedName>
    <definedName name="FRUIT">#REF!</definedName>
    <definedName name="GAFFE10">'Dairy'!$AJ$6775</definedName>
    <definedName name="GAFFE10">#REF!</definedName>
    <definedName name="GAFFE2">'Dairy'!$AJ$6736</definedName>
    <definedName name="GAFFE2">#REF!</definedName>
    <definedName name="GAFFE3">'Dairy'!$AJ$6741</definedName>
    <definedName name="GAFFE3">#REF!</definedName>
    <definedName name="GAFFE4">'Dairy'!$AJ$6747</definedName>
    <definedName name="GAFFE4">#REF!</definedName>
    <definedName name="GAFFE5">'Dairy'!$AJ$6751</definedName>
    <definedName name="GAFFE5">#REF!</definedName>
    <definedName name="GAFFE6">'Dairy'!$AJ$6755</definedName>
    <definedName name="GAFFE6">#REF!</definedName>
    <definedName name="GAFFE7">'Dairy'!$AJ$6759</definedName>
    <definedName name="GAFFE7">#REF!</definedName>
    <definedName name="GAFFE8">'Dairy'!$AJ$6767</definedName>
    <definedName name="GAFFE8">#REF!</definedName>
    <definedName name="GAFFE9">'Dairy'!$AJ$6771</definedName>
    <definedName name="GAFFE9">#REF!</definedName>
    <definedName name="GFRUIT">'Dairy'!$AW$6582</definedName>
    <definedName name="GFRUIT">#REF!</definedName>
    <definedName name="GOATS">'Dairy'!$AW$6506</definedName>
    <definedName name="GOATS">#REF!</definedName>
    <definedName name="GRAIN">'Dairy'!$AW$6525</definedName>
    <definedName name="GRAIN">#REF!</definedName>
    <definedName name="GRAPES">#REF!</definedName>
    <definedName name="GRAPES">'[6]turkey'!$AC$6593:$AG$6597</definedName>
    <definedName name="HAY1">'[3]Hay'!$A$1:$K$159</definedName>
    <definedName name="HELP">'Dairy'!$CB$6457:$CI$6476</definedName>
    <definedName name="HELP">#REF!</definedName>
    <definedName name="HORT">'Dairy'!$AW$6549</definedName>
    <definedName name="HORT">#REF!</definedName>
    <definedName name="ID">'Dairy'!$BJ$6458:$BQ$6459</definedName>
    <definedName name="ID">#REF!</definedName>
    <definedName name="IFF">'Dairy'!$AJ$6473</definedName>
    <definedName name="IFF">#REF!</definedName>
    <definedName name="INPUT">'Dairy'!$AJ$6464</definedName>
    <definedName name="INPUT">#REF!</definedName>
    <definedName name="JUNK">'Dairy'!$AJ$6694</definedName>
    <definedName name="JUNK">#REF!</definedName>
    <definedName name="KEY">'Dairy'!$AJ$6791</definedName>
    <definedName name="KEY">#REF!</definedName>
    <definedName name="KEYLIST">'Dairy'!$AJ$6793:$AJ$6805</definedName>
    <definedName name="KEYLIST">#REF!</definedName>
    <definedName name="LASTCELL">'Dairy'!$AJ$6627</definedName>
    <definedName name="LASTCELL">#REF!</definedName>
    <definedName name="LAYER1">'[8]LAYER'!$A$1:$K$300</definedName>
    <definedName name="LCNT">'Dairy'!$AJ$6505</definedName>
    <definedName name="LCNT">#REF!</definedName>
    <definedName name="LCOUNT">'Dairy'!$AJ$6461</definedName>
    <definedName name="LCOUNT">#REF!</definedName>
    <definedName name="LINE">'Dairy'!$BI$6506:$BU$6506</definedName>
    <definedName name="LINE">#REF!</definedName>
    <definedName name="LININ">'Dairy'!$BI$6495:$BU$6495</definedName>
    <definedName name="LININ">#REF!</definedName>
    <definedName name="LIVESTOCK">'Dairy'!$AW$6480</definedName>
    <definedName name="LIVESTOCK">#REF!</definedName>
    <definedName name="LOAN1">'Dairy'!$A$6779:$H$6839</definedName>
    <definedName name="LOAN1">#REF!</definedName>
    <definedName name="LOGO">'Dairy'!$BT$6457:$CA$6476</definedName>
    <definedName name="LOGO">#REF!</definedName>
    <definedName name="MACROBLOCK">'Dairy'!$AJ$6457:$AJ$6852</definedName>
    <definedName name="MACROBLOCK">#REF!</definedName>
    <definedName name="MARKER1">'Dairy'!$AJ$6611</definedName>
    <definedName name="MARKER1">#REF!</definedName>
    <definedName name="MENUBLOCK">'Dairy'!$AW$6457:$BD$6763</definedName>
    <definedName name="MENUBLOCK">#REF!</definedName>
    <definedName name="MESSAGE">'Dairy'!$AJ$6849</definedName>
    <definedName name="MESSAGE">#REF!</definedName>
    <definedName name="MGOAT1">#REF!</definedName>
    <definedName name="NAME">'Dairy'!$CJ$6457:$CQ$6476</definedName>
    <definedName name="NAME">#REF!</definedName>
    <definedName name="NO">'Dairy'!$AJ$6499</definedName>
    <definedName name="NO">#REF!</definedName>
    <definedName name="NOREC">'Dairy'!$AW$6458:$BD$6458</definedName>
    <definedName name="NOREC">#REF!</definedName>
    <definedName name="NUMBER">'Dairy'!$AJ$6500</definedName>
    <definedName name="NUMBER">#REF!</definedName>
    <definedName name="NUR">'Dairy'!$AW$6567:$BA$6574</definedName>
    <definedName name="NUR">'[6]turkey'!$AC$6564:$AG$6571</definedName>
    <definedName name="OATS1">#REF!</definedName>
    <definedName name="OILS">'Dairy'!$AW$6531</definedName>
    <definedName name="OILS">#REF!</definedName>
    <definedName name="OTHER">'Dairy'!$AW$6633</definedName>
    <definedName name="OTHER">#REF!</definedName>
    <definedName name="OTHERLVSTK">'Dairy'!$AW$6657:$AX$6661</definedName>
    <definedName name="OTHERLVSTK">#REF!</definedName>
    <definedName name="OTHERVEG">'Dairy'!$AW$6621</definedName>
    <definedName name="OTHERVEG">#REF!</definedName>
    <definedName name="OTHRFRT">'Dairy'!$AW$6588</definedName>
    <definedName name="OTHRFRT">#REF!</definedName>
    <definedName name="P_ALLO">'Dairy'!$BI$6457:$BR$6476</definedName>
    <definedName name="P_ALLO">#REF!</definedName>
    <definedName name="P_DEP_N">'Dairy'!$A$6619:$H$6645</definedName>
    <definedName name="P_DEP_N">#REF!</definedName>
    <definedName name="P_LOANS">'Dairy'!$A$6779:$H$6817</definedName>
    <definedName name="P_LOANS">#REF!</definedName>
    <definedName name="P_RANGE">'Dairy'!$AJ$6469</definedName>
    <definedName name="P_RANGE">#REF!</definedName>
    <definedName name="P_TRANS">'Dairy'!$DH$6457:$DO$6469</definedName>
    <definedName name="P_TRANS">#REF!</definedName>
    <definedName name="P_WFC">'Dairy'!$A$6459:$H$6510</definedName>
    <definedName name="P_WFC">#REF!</definedName>
    <definedName name="P_WFS">'Dairy'!$A$6547:$H$6604</definedName>
    <definedName name="P_WFS">#REF!</definedName>
    <definedName name="PASSWORD">'Dairy'!$AJ$6470</definedName>
    <definedName name="PASSWORD">#REF!</definedName>
    <definedName name="PASTUR1">'[4]PASTUR'!$A$1:$K$159</definedName>
    <definedName name="PCHECK">'Dairy'!$AW$6716:$AX$6720</definedName>
    <definedName name="PCHECK">#REF!</definedName>
    <definedName name="PEABEAN">'Dairy'!$AW$6627</definedName>
    <definedName name="PEABEAN">#REF!</definedName>
    <definedName name="PERCENT">'Dairy'!$AJ$6628</definedName>
    <definedName name="PERCENT">#REF!</definedName>
    <definedName name="PIGS">'Dairy'!$AW$6494</definedName>
    <definedName name="PIGS">#REF!</definedName>
    <definedName name="POULTRY">'Dairy'!$AW$6512</definedName>
    <definedName name="POULTRY">#REF!</definedName>
    <definedName name="PREPARE">'Dairy'!#REF!</definedName>
    <definedName name="PREPARE">#REF!</definedName>
    <definedName name="PREPDATE">'Dairy'!$CO$6465</definedName>
    <definedName name="PREPDATE">#REF!</definedName>
    <definedName name="PRINT">'Dairy'!$AJ$6698:$AJ$6708</definedName>
    <definedName name="PRINT">#REF!</definedName>
    <definedName name="_xlnm.Print_Area" localSheetId="0">'Dairy'!$A$1:$H$197</definedName>
    <definedName name="_xlnm.Print_Area">'Dairy'!$A$1:$AC$189</definedName>
    <definedName name="Print_Area_MI">'Dairy'!$B$422:$AC$532</definedName>
    <definedName name="PRINT_AREA_MI">#REF!</definedName>
    <definedName name="PRINTALL">'Dairy'!$AJ$6710:$AJ$6724</definedName>
    <definedName name="PRINTALL">#REF!</definedName>
    <definedName name="PRINTENT">'Dairy'!$AJ$6726:$AJ$6729</definedName>
    <definedName name="PRINTENT">#REF!</definedName>
    <definedName name="PRINTMENU">'Dairy'!$AW$6722</definedName>
    <definedName name="PRINTMENU">#REF!</definedName>
    <definedName name="PRTCHOICE">'Dairy'!$AW$6732</definedName>
    <definedName name="PRTCHOICE">#REF!</definedName>
    <definedName name="PULLET1">'[7]PULLET'!$A$1:$K$300</definedName>
    <definedName name="PULSES">'Dairy'!$AW$6537</definedName>
    <definedName name="PULSES">#REF!</definedName>
    <definedName name="QCHOICE">'Dairy'!$AW$6747:$AY$6751</definedName>
    <definedName name="QCHOICE">#REF!</definedName>
    <definedName name="RECORD">'Dairy'!$AW$6459:$BD$6459</definedName>
    <definedName name="RECORD">#REF!</definedName>
    <definedName name="RET">'Dairy'!$AJ$6608:$AJ$6612</definedName>
    <definedName name="RET">#REF!</definedName>
    <definedName name="ROOT">'Dairy'!$AW$6615</definedName>
    <definedName name="ROOT">#REF!</definedName>
    <definedName name="SAVE">'Dairy'!$AJ$6663</definedName>
    <definedName name="SAVE">#REF!</definedName>
    <definedName name="SAVE1">'Dairy'!$AJ$6664</definedName>
    <definedName name="SAVE1">#REF!</definedName>
    <definedName name="SAVE2">'Dairy'!$AJ$6666</definedName>
    <definedName name="SAVE2">#REF!</definedName>
    <definedName name="SCHOICE">'Dairy'!$AW$6696:$AY$6698</definedName>
    <definedName name="SCHOICE">#REF!</definedName>
    <definedName name="SELECT">'Dairy'!$AJ$6828</definedName>
    <definedName name="SELECT">#REF!</definedName>
    <definedName name="SELECTERR">'Dairy'!$AJ$6810</definedName>
    <definedName name="SELECTERR">#REF!</definedName>
    <definedName name="SELECTMSG">'Dairy'!$AJ$6807</definedName>
    <definedName name="SELECTMSG">#REF!</definedName>
    <definedName name="SEND">'Dairy'!$AI$6716:$AT$6724</definedName>
    <definedName name="SEND">#REF!</definedName>
    <definedName name="SEND2">'Dairy'!#REF!</definedName>
    <definedName name="SEND2">#REF!</definedName>
    <definedName name="SHADE">'Dairy'!$AW$6645:$AX$6649</definedName>
    <definedName name="SHADE">'[6]turkey'!$AC$6636:$AD$6640</definedName>
    <definedName name="SHEEP">'Dairy'!$AW$6500</definedName>
    <definedName name="SHEEP">#REF!</definedName>
    <definedName name="SHRUB">'Dairy'!$AW$6651:$AX$6655</definedName>
    <definedName name="SHRUB">'[6]turkey'!$AC$6642:$AD$6646</definedName>
    <definedName name="SILAGE1">'[5]SILAGE'!$A$1:$K$159</definedName>
    <definedName name="STYPE">'Dairy'!$AW$6687</definedName>
    <definedName name="STYPE">#REF!</definedName>
    <definedName name="SUBR">'Dairy'!$AJ$6507</definedName>
    <definedName name="SUBR">#REF!</definedName>
    <definedName name="SWHEAT1">#REF!</definedName>
    <definedName name="TCOUNT">'Dairy'!$AJ$6462</definedName>
    <definedName name="TCOUNT">#REF!</definedName>
    <definedName name="TFRUIT">'Dairy'!$AW$6576</definedName>
    <definedName name="TFRUIT">#REF!</definedName>
    <definedName name="TIMES">'Dairy'!#REF!</definedName>
    <definedName name="TIMES">#REF!</definedName>
    <definedName name="TMARK">'Dairy'!$AJ$6588</definedName>
    <definedName name="TMARK">#REF!</definedName>
    <definedName name="TO_CELL">'Dairy'!$AJ$6643</definedName>
    <definedName name="TO_CELL">#REF!</definedName>
    <definedName name="TRANS">'Dairy'!$DH$6457:$DO$6469</definedName>
    <definedName name="TRANS">#REF!</definedName>
    <definedName name="TRANSF">'Dairy'!$DJ$6458:$DM$6469</definedName>
    <definedName name="TRANSF">#REF!</definedName>
    <definedName name="TREC">'Dairy'!$AW$6458:$BD$6459</definedName>
    <definedName name="TREC">#REF!</definedName>
    <definedName name="TURKEY1">'[6]turkey'!$A$1:$K$300</definedName>
    <definedName name="UPDATE">'Dairy'!$AJ$6518</definedName>
    <definedName name="UPDATE">#REF!</definedName>
    <definedName name="VEAL1">#REF!</definedName>
    <definedName name="VEG">'Dairy'!$AW$6549</definedName>
    <definedName name="VEG">#REF!</definedName>
    <definedName name="VINE">'[4]PASTUR'!$AC$7921</definedName>
    <definedName name="WFARMC">'Dairy'!$A$6459</definedName>
    <definedName name="WFARMC">#REF!</definedName>
    <definedName name="WFARMS">'Dairy'!$A$6547</definedName>
    <definedName name="WFARMS">#REF!</definedName>
    <definedName name="WMARK">'Dairy'!$AJ$6589</definedName>
    <definedName name="WMARK">#REF!</definedName>
    <definedName name="WORKDRV">'Dairy'!$AJ$6696</definedName>
    <definedName name="WORKDRV">#REF!</definedName>
    <definedName name="WORKNOS">'Dairy'!$BI$6488:$BI$6495</definedName>
    <definedName name="WORKNOS">#REF!</definedName>
    <definedName name="WORKNUMS">'Dairy'!$BK$6488:$BU$6495</definedName>
    <definedName name="WORKNUMS">#REF!</definedName>
    <definedName name="WORKON">'Dairy'!$BI$6488:$BU$6495</definedName>
    <definedName name="WORKON">#REF!</definedName>
    <definedName name="WWHEAT1">#REF!</definedName>
    <definedName name="XB1">'Dairy'!$A$6875:$AE$7033</definedName>
    <definedName name="XB1">#REF!</definedName>
    <definedName name="XB10">'Dairy'!$A$305:$AE$603</definedName>
    <definedName name="XB10">#REF!</definedName>
    <definedName name="XB11">'Dairy'!$A$605:$AE$904</definedName>
    <definedName name="XB11">#REF!</definedName>
    <definedName name="XB12">'Dairy'!$A$906:$AE$1205</definedName>
    <definedName name="XB12">#REF!</definedName>
    <definedName name="XB2">'Dairy'!$A$7035:$AE$7193</definedName>
    <definedName name="XB2">#REF!</definedName>
    <definedName name="XB3">'Dairy'!$A$7196:$AE$7353</definedName>
    <definedName name="XB3">#REF!</definedName>
    <definedName name="XB4">'Dairy'!$A$7355:$AE$7513</definedName>
    <definedName name="XB4">#REF!</definedName>
    <definedName name="XB5">'Dairy'!$A$7516:$AE$7673</definedName>
    <definedName name="XB5">#REF!</definedName>
    <definedName name="XB6">'Dairy'!$A$7676:$AE$7833</definedName>
    <definedName name="XB6">#REF!</definedName>
    <definedName name="XB7">'Dairy'!$A$7836:$AE$7993</definedName>
    <definedName name="XB7">#REF!</definedName>
    <definedName name="XB8">'Dairy'!$A$7996:$AE$8153</definedName>
    <definedName name="XB8">#REF!</definedName>
    <definedName name="XB9">'Dairy'!$A$1:$AE$303</definedName>
    <definedName name="XB9">#REF!</definedName>
    <definedName name="XBC1">'Dairy'!$A$6877</definedName>
    <definedName name="XBC1">#REF!</definedName>
    <definedName name="XBC10">'Dairy'!$A$305:$AE$603</definedName>
    <definedName name="XBC10">#REF!</definedName>
    <definedName name="XBC11">'Dairy'!$A$607</definedName>
    <definedName name="XBC11">#REF!</definedName>
    <definedName name="XBC12">'Dairy'!$A$908</definedName>
    <definedName name="XBC12">#REF!</definedName>
    <definedName name="XBC2">'Dairy'!$A$7037</definedName>
    <definedName name="XBC2">#REF!</definedName>
    <definedName name="XBC3">'Dairy'!$A$7198</definedName>
    <definedName name="XBC3">#REF!</definedName>
    <definedName name="XBC4">'Dairy'!$A$7357</definedName>
    <definedName name="XBC4">#REF!</definedName>
    <definedName name="XBC5">'Dairy'!$A$7518</definedName>
    <definedName name="XBC5">#REF!</definedName>
    <definedName name="XBC6">'Dairy'!$A$7678</definedName>
    <definedName name="XBC6">#REF!</definedName>
    <definedName name="XBC7">'Dairy'!$A$7838</definedName>
    <definedName name="XBC7">#REF!</definedName>
    <definedName name="XBC8">'Dairy'!$A$7998</definedName>
    <definedName name="XBC8">#REF!</definedName>
    <definedName name="XBC9">'Dairy'!$A$1</definedName>
    <definedName name="XBC9">#REF!</definedName>
    <definedName name="XCHOICE">'Dairy'!$AW$6700:$AY$6702</definedName>
    <definedName name="XCHOICE">#REF!</definedName>
    <definedName name="XDATA">'Dairy'!#REF!</definedName>
    <definedName name="XDATA">#REF!</definedName>
    <definedName name="XNAME">'Dairy'!$AJ$6692</definedName>
    <definedName name="XNAME">#REF!</definedName>
    <definedName name="XSAVE">'Dairy'!$AJ$6677</definedName>
    <definedName name="XSAVE">#REF!</definedName>
    <definedName name="XSAVE1">'Dairy'!$AJ$6678</definedName>
    <definedName name="XSAVE1">#REF!</definedName>
    <definedName name="XSAVE2">'Dairy'!$AJ$6680</definedName>
    <definedName name="XSAVE2">#REF!</definedName>
    <definedName name="YES">'Dairy'!$AJ$6502</definedName>
    <definedName name="YES">#REF!</definedName>
  </definedNames>
  <calcPr fullCalcOnLoad="1"/>
</workbook>
</file>

<file path=xl/comments1.xml><?xml version="1.0" encoding="utf-8"?>
<comments xmlns="http://schemas.openxmlformats.org/spreadsheetml/2006/main">
  <authors>
    <author>molenhuisjo</author>
  </authors>
  <commentList>
    <comment ref="D111" authorId="0">
      <text>
        <r>
          <rPr>
            <b/>
            <sz val="8"/>
            <rFont val="Tahoma"/>
            <family val="2"/>
          </rPr>
          <t>If a number is entered in the $/Cow column the budget will ignore any number entered in the $/Year column</t>
        </r>
        <r>
          <rPr>
            <sz val="10"/>
            <rFont val="Tahoma"/>
            <family val="0"/>
          </rPr>
          <t xml:space="preserve">
</t>
        </r>
      </text>
    </comment>
    <comment ref="E111" authorId="0">
      <text>
        <r>
          <rPr>
            <b/>
            <sz val="8"/>
            <rFont val="Tahoma"/>
            <family val="2"/>
          </rPr>
          <t>If a number is entered in the $/Cow column the budget will ignore any number entered in the $/Year column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<sst xmlns="http://schemas.openxmlformats.org/spreadsheetml/2006/main" count="341" uniqueCount="236">
  <si>
    <t>DAIRY ENTERPRISE BUDGET</t>
  </si>
  <si>
    <t xml:space="preserve">Number of Cows </t>
  </si>
  <si>
    <t>Shipments to fill 100% of</t>
  </si>
  <si>
    <t>Kg</t>
  </si>
  <si>
    <t>Quota and Credits -    Hl</t>
  </si>
  <si>
    <t xml:space="preserve">       Deductions:</t>
  </si>
  <si>
    <t>Fall Incentives</t>
  </si>
  <si>
    <t>Days/Mo.</t>
  </si>
  <si>
    <t>Transportation</t>
  </si>
  <si>
    <t>$/Hl</t>
  </si>
  <si>
    <t>Administration</t>
  </si>
  <si>
    <t>Kg/Hl</t>
  </si>
  <si>
    <t>Ontario DHI</t>
  </si>
  <si>
    <t>Value of Components:(Within Quota)</t>
  </si>
  <si>
    <t>Butterfat</t>
  </si>
  <si>
    <t>$/Kg</t>
  </si>
  <si>
    <t>Protein</t>
  </si>
  <si>
    <t>Other Solids</t>
  </si>
  <si>
    <t>Tran!D3..G14</t>
  </si>
  <si>
    <t>Allo!C3..J14</t>
  </si>
  <si>
    <t>Avg. Butterfat kg/hl</t>
  </si>
  <si>
    <t>% of Quota&amp;Credits Shipped</t>
  </si>
  <si>
    <t>Note: Maximum`% of Quota &amp; Credits Shipped' that can be entered is 100%</t>
  </si>
  <si>
    <t>Milk Revenue Calculations</t>
  </si>
  <si>
    <t>Within Quota</t>
  </si>
  <si>
    <t>HL.</t>
  </si>
  <si>
    <t>TESTS</t>
  </si>
  <si>
    <t>KILOGRAMS</t>
  </si>
  <si>
    <t>PRICE/KG.</t>
  </si>
  <si>
    <t>AMOUNT</t>
  </si>
  <si>
    <t xml:space="preserve">   X      BF</t>
  </si>
  <si>
    <t>Kg./Hl.  =</t>
  </si>
  <si>
    <t xml:space="preserve">   X      PROT</t>
  </si>
  <si>
    <t xml:space="preserve">   X      OS</t>
  </si>
  <si>
    <t>GROSS MILK INCOME</t>
  </si>
  <si>
    <t>DEDUCTIONS</t>
  </si>
  <si>
    <t>X</t>
  </si>
  <si>
    <t>BLEND PRICE:</t>
  </si>
  <si>
    <t>-NET OF DEDUCTIONS</t>
  </si>
  <si>
    <t>/Hl.</t>
  </si>
  <si>
    <t xml:space="preserve">/Kg. </t>
  </si>
  <si>
    <t>Revenue from Animals Sold</t>
  </si>
  <si>
    <t>Head</t>
  </si>
  <si>
    <t>$/Head</t>
  </si>
  <si>
    <t>Revenue</t>
  </si>
  <si>
    <t xml:space="preserve">   Bull Calves or Dairy Steers</t>
  </si>
  <si>
    <t xml:space="preserve">   Heifers for Breeding</t>
  </si>
  <si>
    <t xml:space="preserve">   Cull Cows for Beef</t>
  </si>
  <si>
    <t xml:space="preserve">   Cows for Breeding Stock</t>
  </si>
  <si>
    <t xml:space="preserve">   Other -</t>
  </si>
  <si>
    <t xml:space="preserve">Description  </t>
  </si>
  <si>
    <t xml:space="preserve">  -------</t>
  </si>
  <si>
    <t>-</t>
  </si>
  <si>
    <t xml:space="preserve">   Total</t>
  </si>
  <si>
    <t>Number of Cows to Base Variable Costs on ==&gt;</t>
  </si>
  <si>
    <t xml:space="preserve"> **</t>
  </si>
  <si>
    <t>EXPENSES</t>
  </si>
  <si>
    <t>$/Year</t>
  </si>
  <si>
    <t>$/Cow</t>
  </si>
  <si>
    <t xml:space="preserve"> Variable Costs:</t>
  </si>
  <si>
    <t xml:space="preserve">  ------</t>
  </si>
  <si>
    <t>Purchased Feed:</t>
  </si>
  <si>
    <t/>
  </si>
  <si>
    <t xml:space="preserve">  Hay Purchased</t>
  </si>
  <si>
    <t xml:space="preserve">  Grain Purchased</t>
  </si>
  <si>
    <t xml:space="preserve">  Protein Supplement</t>
  </si>
  <si>
    <t xml:space="preserve">  Salt &amp; Mineral</t>
  </si>
  <si>
    <t>Homegrown Feed: *</t>
  </si>
  <si>
    <t xml:space="preserve"> Crop Transfers (based on </t>
  </si>
  <si>
    <t>head)</t>
  </si>
  <si>
    <t>Tonnes</t>
  </si>
  <si>
    <t>$/t</t>
  </si>
  <si>
    <t xml:space="preserve"> Grain #1</t>
  </si>
  <si>
    <t>corn</t>
  </si>
  <si>
    <t xml:space="preserve">       #2</t>
  </si>
  <si>
    <t xml:space="preserve">       #3</t>
  </si>
  <si>
    <t xml:space="preserve"> </t>
  </si>
  <si>
    <t xml:space="preserve">       #4</t>
  </si>
  <si>
    <t xml:space="preserve"> Forage#1</t>
  </si>
  <si>
    <t xml:space="preserve">  --------</t>
  </si>
  <si>
    <t>Total Feed Cost</t>
  </si>
  <si>
    <t>Typical</t>
  </si>
  <si>
    <t>Livestock Purchases</t>
  </si>
  <si>
    <t xml:space="preserve"> -------</t>
  </si>
  <si>
    <t xml:space="preserve"> --------</t>
  </si>
  <si>
    <t xml:space="preserve">       #1</t>
  </si>
  <si>
    <t>Hired Labour</t>
  </si>
  <si>
    <t>Vet. &amp; Medicine</t>
  </si>
  <si>
    <t>Breeding Fees</t>
  </si>
  <si>
    <t>Wfarm!L4</t>
  </si>
  <si>
    <t>Breed Association Fees</t>
  </si>
  <si>
    <t>Wfarm!L5</t>
  </si>
  <si>
    <t>Milk Mkting Expenses</t>
  </si>
  <si>
    <t>Wfarm!L6</t>
  </si>
  <si>
    <t>Livestock Mkting &amp; Trucking</t>
  </si>
  <si>
    <t>Wfarm!L7</t>
  </si>
  <si>
    <t>Stable &amp; Milkhouse Supplies</t>
  </si>
  <si>
    <t>Wfarm!L8</t>
  </si>
  <si>
    <t>Custom Work</t>
  </si>
  <si>
    <t>Machinery &amp; Equip't Rentals</t>
  </si>
  <si>
    <t>Other Dairy Expenses</t>
  </si>
  <si>
    <t>Wfarm!L9</t>
  </si>
  <si>
    <t>Enterprise</t>
  </si>
  <si>
    <t xml:space="preserve"> $/Cow</t>
  </si>
  <si>
    <t>$ Allocated</t>
  </si>
  <si>
    <t xml:space="preserve"> Fuel</t>
  </si>
  <si>
    <t xml:space="preserve"> Mach. Repair &amp; Maint.</t>
  </si>
  <si>
    <t>Wfarm!K4</t>
  </si>
  <si>
    <t xml:space="preserve"> Bldg. Repair &amp; Maint.</t>
  </si>
  <si>
    <t>Wfarm!K5</t>
  </si>
  <si>
    <t>Wfarm!K6</t>
  </si>
  <si>
    <t>Wfarm!K7</t>
  </si>
  <si>
    <t xml:space="preserve"> Interest on</t>
  </si>
  <si>
    <t>%int</t>
  </si>
  <si>
    <t xml:space="preserve">   -----</t>
  </si>
  <si>
    <t xml:space="preserve">    ----</t>
  </si>
  <si>
    <t>Total Variable Costs</t>
  </si>
  <si>
    <t xml:space="preserve"> Enterprise</t>
  </si>
  <si>
    <t>Fixed Costs:</t>
  </si>
  <si>
    <t xml:space="preserve">   $/Cow</t>
  </si>
  <si>
    <t xml:space="preserve"> Depreciation</t>
  </si>
  <si>
    <t xml:space="preserve"> Interest on Term Loans</t>
  </si>
  <si>
    <t xml:space="preserve"> Long-term Leases</t>
  </si>
  <si>
    <t>Total Fixed Costs</t>
  </si>
  <si>
    <t>Revenues:</t>
  </si>
  <si>
    <t>BREAK-EVEN CALC.</t>
  </si>
  <si>
    <t>Total Expected Revenues</t>
  </si>
  <si>
    <t>Volume (kg of B.F)</t>
  </si>
  <si>
    <t xml:space="preserve">    less: Variable Costs</t>
  </si>
  <si>
    <t>Effective Gross Price ($/kg b.f)</t>
  </si>
  <si>
    <t>Expected Operating Margin</t>
  </si>
  <si>
    <t>Deductions ($/kg b.f)</t>
  </si>
  <si>
    <t xml:space="preserve">    less: Fixed Costs</t>
  </si>
  <si>
    <t>Gross Sales</t>
  </si>
  <si>
    <t>Expected Net Revenue</t>
  </si>
  <si>
    <t>Cost Contributions</t>
  </si>
  <si>
    <t>Proof:</t>
  </si>
  <si>
    <t>Break-even Target Price of Milk</t>
  </si>
  <si>
    <t>Hl</t>
  </si>
  <si>
    <t xml:space="preserve">      Needed to Cover:</t>
  </si>
  <si>
    <t>Variable Costs</t>
  </si>
  <si>
    <t>Fixed Costs</t>
  </si>
  <si>
    <t>Total Costs</t>
  </si>
  <si>
    <t>Excluded:</t>
  </si>
  <si>
    <t>Chance of at least breaking even        ==&gt;</t>
  </si>
  <si>
    <t>$hL/$cow</t>
  </si>
  <si>
    <t>Chance of at least</t>
  </si>
  <si>
    <t>$/cow return ==&gt;</t>
  </si>
  <si>
    <t>mn</t>
  </si>
  <si>
    <t xml:space="preserve">    or of</t>
  </si>
  <si>
    <t>$/Kg return</t>
  </si>
  <si>
    <t>Coefficient of variation                ==&gt;</t>
  </si>
  <si>
    <t>mlkvar1</t>
  </si>
  <si>
    <t>mlkvar2</t>
  </si>
  <si>
    <t xml:space="preserve">        Returns</t>
  </si>
  <si>
    <t>Chances of at least</t>
  </si>
  <si>
    <t>mlkvar3</t>
  </si>
  <si>
    <t>$/cow</t>
  </si>
  <si>
    <t>this return</t>
  </si>
  <si>
    <t>sumstd</t>
  </si>
  <si>
    <t>cowstd</t>
  </si>
  <si>
    <t xml:space="preserve">       17 %</t>
  </si>
  <si>
    <t xml:space="preserve">       33 %</t>
  </si>
  <si>
    <t>z</t>
  </si>
  <si>
    <t xml:space="preserve">       50 %</t>
  </si>
  <si>
    <t>v1</t>
  </si>
  <si>
    <t xml:space="preserve">       67 %</t>
  </si>
  <si>
    <t>v2</t>
  </si>
  <si>
    <t xml:space="preserve">       83 %</t>
  </si>
  <si>
    <t>p(vx)</t>
  </si>
  <si>
    <t>Expansion and Quota Evaluation</t>
  </si>
  <si>
    <t xml:space="preserve"> Interest Rate</t>
  </si>
  <si>
    <t>Cow Purchase Price</t>
  </si>
  <si>
    <t xml:space="preserve"> Life of Quota (yrs)</t>
  </si>
  <si>
    <t>Quota Value</t>
  </si>
  <si>
    <t>Profit per Cow</t>
  </si>
  <si>
    <t xml:space="preserve"> Current Quota Price $/kg </t>
  </si>
  <si>
    <t>Payback (yrs)</t>
  </si>
  <si>
    <t>* Variable cost that don't change with addition of a few cows  (units $/kg b.f.)</t>
  </si>
  <si>
    <t>Total deductions</t>
  </si>
  <si>
    <t>Return Per Cow:</t>
  </si>
  <si>
    <t>Return Per Hl:</t>
  </si>
  <si>
    <t xml:space="preserve"> Expected</t>
  </si>
  <si>
    <t xml:space="preserve"> General Variable Costs*</t>
  </si>
  <si>
    <t xml:space="preserve"> General Fixed Costs**</t>
  </si>
  <si>
    <t xml:space="preserve">         *(including utilities, professional fees, vehicle expenses etc)</t>
  </si>
  <si>
    <t>wheat</t>
  </si>
  <si>
    <t>spring grains</t>
  </si>
  <si>
    <t>corn silage</t>
  </si>
  <si>
    <t>pasture</t>
  </si>
  <si>
    <t>other</t>
  </si>
  <si>
    <t xml:space="preserve"> Rent </t>
  </si>
  <si>
    <t xml:space="preserve">Homegrown Feed: </t>
  </si>
  <si>
    <t>**(Enter the herd size used to determine the variable costs if different than entered above)</t>
  </si>
  <si>
    <t>Kg Quota held</t>
  </si>
  <si>
    <t>High</t>
  </si>
  <si>
    <t>Low</t>
  </si>
  <si>
    <t>NET MILK INCOME</t>
  </si>
  <si>
    <t>haylage</t>
  </si>
  <si>
    <t>hay</t>
  </si>
  <si>
    <t xml:space="preserve">       #5</t>
  </si>
  <si>
    <t>Use $/cow   OR   $/Year column</t>
  </si>
  <si>
    <t>Research</t>
  </si>
  <si>
    <t>Market Expansion</t>
  </si>
  <si>
    <t>Numbers in blue can be changed/edited by the producer.</t>
  </si>
  <si>
    <t xml:space="preserve">        **(including property taxes, fire and liability insurance etc)</t>
  </si>
  <si>
    <t>Production</t>
  </si>
  <si>
    <t>Over Quota Charge</t>
  </si>
  <si>
    <t>Other Solids (OS)</t>
  </si>
  <si>
    <t>Expected Milk Shipments - Hl</t>
  </si>
  <si>
    <t xml:space="preserve">  Quota Value is based on paying for the cow and quota in the specified period.</t>
  </si>
  <si>
    <t>Butterfat (BF)</t>
  </si>
  <si>
    <t>Protein (PROT)</t>
  </si>
  <si>
    <t xml:space="preserve">   Heifers for Beef</t>
  </si>
  <si>
    <t xml:space="preserve"> Excludable Variable Cost $/kg b.f.*</t>
  </si>
  <si>
    <t>Kg Quota sold (-) or Purchased (+)</t>
  </si>
  <si>
    <t>Over quota charge: enter as a negative (-):</t>
  </si>
  <si>
    <t>Butterfat Test</t>
  </si>
  <si>
    <t>Protein Test</t>
  </si>
  <si>
    <t xml:space="preserve"> Operating Loan</t>
  </si>
  <si>
    <t>% of the year used</t>
  </si>
  <si>
    <t>High SNF Ratio Deduction</t>
  </si>
  <si>
    <t>max snf kg</t>
  </si>
  <si>
    <t>over SNF protein kg</t>
  </si>
  <si>
    <t>over snf OS kg</t>
  </si>
  <si>
    <t>SNF Ratio Cap</t>
  </si>
  <si>
    <t>Farm SNF ratio</t>
  </si>
  <si>
    <t>For more information:</t>
  </si>
  <si>
    <t>OMAFRA Agricultural Information Centre</t>
  </si>
  <si>
    <t>1-877-424-1300</t>
  </si>
  <si>
    <t>Other</t>
  </si>
  <si>
    <t>DHI</t>
  </si>
  <si>
    <t>Herd Average litres shipped /cow</t>
  </si>
  <si>
    <t xml:space="preserve">The user of this worksheet assumes all responsibility. </t>
  </si>
  <si>
    <t>ag.info.omafra@ontario.ca</t>
  </si>
  <si>
    <t>Revised: August 2012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</si>
</sst>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0_)"/>
    <numFmt numFmtId="174" formatCode="0.0000_)"/>
    <numFmt numFmtId="175" formatCode="0.000_)"/>
    <numFmt numFmtId="176" formatCode="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"/>
    <numFmt numFmtId="181" formatCode="0.0%"/>
    <numFmt numFmtId="182" formatCode="&quot;$&quot;#,##0.0000_);\(&quot;$&quot;#,##0.0000\)"/>
    <numFmt numFmtId="183" formatCode="&quot;$&quot;#,##0.000_);\(&quot;$&quot;#,##0.000\)"/>
    <numFmt numFmtId="184" formatCode="_(* #,##0_);_(* \(#,##0\);_(* &quot;-&quot;_);_(* @_)"/>
    <numFmt numFmtId="185" formatCode="_(&quot;$&quot;* #,##0_);_(&quot;$&quot;* \(#,##0\);_(&quot;$&quot;* &quot;-&quot;_);_(* @_)"/>
    <numFmt numFmtId="186" formatCode="_(* #,##0.00_);_(* \(#,##0.00\);_(* &quot;-&quot;_);_(* @_)"/>
    <numFmt numFmtId="187" formatCode="_(&quot;$&quot;* #,##0.00_);_(&quot;$&quot;* \(#,##0.00\);_(&quot;$&quot;* &quot;-&quot;_);_(* @_)"/>
    <numFmt numFmtId="188" formatCode="&quot;$&quot;#,##0.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_);\(#,##0.0\)"/>
    <numFmt numFmtId="195" formatCode="#,##0.000_);\(#,##0.000\)"/>
    <numFmt numFmtId="196" formatCode="#,##0.0000_);\(#,##0.0000\)"/>
    <numFmt numFmtId="197" formatCode="_(* #,##0.0_);_(* \(#,##0.0\);_(* &quot;-&quot;??_);_(@_)"/>
    <numFmt numFmtId="198" formatCode="0.0"/>
    <numFmt numFmtId="199" formatCode="_(&quot;$&quot;* #,##0.0_);_(&quot;$&quot;* \(#,##0.0\);_(&quot;$&quot;* &quot;-&quot;??_);_(@_)"/>
    <numFmt numFmtId="200" formatCode="_(&quot;$&quot;* #,##0_);_(&quot;$&quot;* \(#,##0\);_(&quot;$&quot;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9"/>
      <color indexed="8"/>
      <name val="Arial"/>
      <family val="0"/>
    </font>
    <font>
      <b/>
      <sz val="9"/>
      <color indexed="12"/>
      <name val="Arial"/>
      <family val="0"/>
    </font>
    <font>
      <sz val="9"/>
      <name val="Courier New"/>
      <family val="0"/>
    </font>
    <font>
      <b/>
      <sz val="9"/>
      <color indexed="4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0"/>
    </font>
    <font>
      <sz val="10"/>
      <name val="Tahoma"/>
      <family val="0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/>
      <protection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 applyProtection="1">
      <alignment horizontal="left"/>
      <protection/>
    </xf>
    <xf numFmtId="0" fontId="3" fillId="2" borderId="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Alignment="1">
      <alignment/>
    </xf>
    <xf numFmtId="176" fontId="2" fillId="0" borderId="0" xfId="0" applyNumberFormat="1" applyAlignment="1">
      <alignment/>
    </xf>
    <xf numFmtId="172" fontId="3" fillId="2" borderId="4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 applyProtection="1">
      <alignment horizontal="left"/>
      <protection/>
    </xf>
    <xf numFmtId="166" fontId="3" fillId="2" borderId="0" xfId="0" applyNumberFormat="1" applyFont="1" applyFill="1" applyBorder="1" applyAlignment="1" applyProtection="1">
      <alignment/>
      <protection/>
    </xf>
    <xf numFmtId="164" fontId="3" fillId="2" borderId="5" xfId="0" applyNumberFormat="1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left"/>
      <protection/>
    </xf>
    <xf numFmtId="0" fontId="4" fillId="3" borderId="6" xfId="0" applyFont="1" applyFill="1" applyBorder="1" applyAlignment="1" applyProtection="1">
      <alignment horizontal="center"/>
      <protection locked="0"/>
    </xf>
    <xf numFmtId="172" fontId="3" fillId="2" borderId="0" xfId="0" applyNumberFormat="1" applyFont="1" applyFill="1" applyBorder="1" applyAlignment="1" applyProtection="1">
      <alignment/>
      <protection/>
    </xf>
    <xf numFmtId="0" fontId="3" fillId="2" borderId="5" xfId="0" applyFont="1" applyFill="1" applyBorder="1" applyAlignment="1">
      <alignment/>
    </xf>
    <xf numFmtId="0" fontId="3" fillId="2" borderId="4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176" fontId="3" fillId="2" borderId="5" xfId="0" applyNumberFormat="1" applyFont="1" applyFill="1" applyBorder="1" applyAlignment="1" applyProtection="1">
      <alignment horizontal="center"/>
      <protection/>
    </xf>
    <xf numFmtId="176" fontId="3" fillId="2" borderId="5" xfId="0" applyNumberFormat="1" applyFont="1" applyFill="1" applyBorder="1" applyAlignment="1" applyProtection="1">
      <alignment/>
      <protection/>
    </xf>
    <xf numFmtId="176" fontId="3" fillId="2" borderId="0" xfId="0" applyNumberFormat="1" applyFont="1" applyFill="1" applyBorder="1" applyAlignment="1" applyProtection="1">
      <alignment/>
      <protection/>
    </xf>
    <xf numFmtId="0" fontId="3" fillId="2" borderId="4" xfId="0" applyFont="1" applyFill="1" applyBorder="1" applyAlignment="1">
      <alignment/>
    </xf>
    <xf numFmtId="173" fontId="3" fillId="2" borderId="0" xfId="0" applyNumberFormat="1" applyFont="1" applyFill="1" applyBorder="1" applyAlignment="1" applyProtection="1">
      <alignment/>
      <protection/>
    </xf>
    <xf numFmtId="181" fontId="3" fillId="2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0" fontId="3" fillId="2" borderId="0" xfId="0" applyNumberFormat="1" applyFont="1" applyFill="1" applyBorder="1" applyAlignment="1" applyProtection="1">
      <alignment/>
      <protection/>
    </xf>
    <xf numFmtId="166" fontId="4" fillId="3" borderId="6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82" fontId="3" fillId="2" borderId="0" xfId="0" applyNumberFormat="1" applyFont="1" applyFill="1" applyBorder="1" applyAlignment="1" applyProtection="1">
      <alignment/>
      <protection/>
    </xf>
    <xf numFmtId="180" fontId="3" fillId="2" borderId="0" xfId="0" applyNumberFormat="1" applyFont="1" applyFill="1" applyBorder="1" applyAlignment="1" applyProtection="1">
      <alignment/>
      <protection/>
    </xf>
    <xf numFmtId="182" fontId="2" fillId="0" borderId="0" xfId="0" applyNumberForma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fill"/>
      <protection/>
    </xf>
    <xf numFmtId="176" fontId="3" fillId="0" borderId="0" xfId="0" applyNumberFormat="1" applyFont="1" applyAlignment="1" applyProtection="1">
      <alignment horizontal="center"/>
      <protection/>
    </xf>
    <xf numFmtId="176" fontId="4" fillId="3" borderId="6" xfId="0" applyNumberFormat="1" applyFont="1" applyFill="1" applyBorder="1" applyAlignment="1" applyProtection="1">
      <alignment horizontal="center"/>
      <protection locked="0"/>
    </xf>
    <xf numFmtId="173" fontId="4" fillId="3" borderId="6" xfId="0" applyNumberFormat="1" applyFont="1" applyFill="1" applyBorder="1" applyAlignment="1" applyProtection="1">
      <alignment horizontal="center"/>
      <protection locked="0"/>
    </xf>
    <xf numFmtId="173" fontId="3" fillId="2" borderId="0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39" fontId="3" fillId="2" borderId="0" xfId="0" applyNumberFormat="1" applyFont="1" applyFill="1" applyBorder="1" applyAlignment="1" applyProtection="1">
      <alignment/>
      <protection/>
    </xf>
    <xf numFmtId="37" fontId="3" fillId="2" borderId="0" xfId="0" applyNumberFormat="1" applyFont="1" applyFill="1" applyBorder="1" applyAlignment="1" applyProtection="1">
      <alignment/>
      <protection/>
    </xf>
    <xf numFmtId="37" fontId="3" fillId="2" borderId="5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1" fontId="3" fillId="2" borderId="4" xfId="0" applyNumberFormat="1" applyFont="1" applyFill="1" applyBorder="1" applyAlignment="1" applyProtection="1">
      <alignment horizontal="center"/>
      <protection/>
    </xf>
    <xf numFmtId="39" fontId="3" fillId="2" borderId="0" xfId="0" applyNumberFormat="1" applyFont="1" applyFill="1" applyBorder="1" applyAlignment="1" applyProtection="1">
      <alignment horizontal="center"/>
      <protection/>
    </xf>
    <xf numFmtId="37" fontId="3" fillId="2" borderId="0" xfId="0" applyNumberFormat="1" applyFont="1" applyFill="1" applyBorder="1" applyAlignment="1" applyProtection="1">
      <alignment horizontal="center"/>
      <protection/>
    </xf>
    <xf numFmtId="182" fontId="3" fillId="2" borderId="0" xfId="0" applyNumberFormat="1" applyFont="1" applyFill="1" applyBorder="1" applyAlignment="1" applyProtection="1">
      <alignment horizontal="center"/>
      <protection/>
    </xf>
    <xf numFmtId="37" fontId="3" fillId="2" borderId="5" xfId="0" applyNumberFormat="1" applyFont="1" applyFill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/>
      <protection/>
    </xf>
    <xf numFmtId="1" fontId="3" fillId="2" borderId="4" xfId="0" applyNumberFormat="1" applyFont="1" applyFill="1" applyBorder="1" applyAlignment="1">
      <alignment/>
    </xf>
    <xf numFmtId="1" fontId="3" fillId="2" borderId="4" xfId="0" applyNumberFormat="1" applyFont="1" applyFill="1" applyBorder="1" applyAlignment="1" applyProtection="1">
      <alignment horizontal="left"/>
      <protection/>
    </xf>
    <xf numFmtId="166" fontId="3" fillId="2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Alignment="1">
      <alignment/>
    </xf>
    <xf numFmtId="166" fontId="2" fillId="0" borderId="0" xfId="0" applyNumberFormat="1" applyAlignment="1">
      <alignment/>
    </xf>
    <xf numFmtId="176" fontId="3" fillId="2" borderId="0" xfId="0" applyNumberFormat="1" applyFont="1" applyFill="1" applyBorder="1" applyAlignment="1" applyProtection="1">
      <alignment horizontal="center"/>
      <protection/>
    </xf>
    <xf numFmtId="183" fontId="3" fillId="2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Alignment="1">
      <alignment/>
    </xf>
    <xf numFmtId="183" fontId="2" fillId="0" borderId="0" xfId="0" applyNumberFormat="1" applyAlignment="1">
      <alignment/>
    </xf>
    <xf numFmtId="164" fontId="3" fillId="2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175" fontId="3" fillId="2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left"/>
      <protection/>
    </xf>
    <xf numFmtId="173" fontId="2" fillId="0" borderId="0" xfId="0" applyNumberFormat="1" applyAlignment="1">
      <alignment/>
    </xf>
    <xf numFmtId="0" fontId="3" fillId="0" borderId="0" xfId="0" applyFont="1" applyAlignment="1" applyProtection="1">
      <alignment horizontal="right"/>
      <protection/>
    </xf>
    <xf numFmtId="172" fontId="3" fillId="2" borderId="5" xfId="0" applyNumberFormat="1" applyFont="1" applyFill="1" applyBorder="1" applyAlignment="1" applyProtection="1">
      <alignment horizontal="left"/>
      <protection/>
    </xf>
    <xf numFmtId="166" fontId="3" fillId="2" borderId="5" xfId="0" applyNumberFormat="1" applyFont="1" applyFill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172" fontId="3" fillId="2" borderId="0" xfId="0" applyNumberFormat="1" applyFont="1" applyFill="1" applyBorder="1" applyAlignment="1" applyProtection="1">
      <alignment horizontal="left"/>
      <protection/>
    </xf>
    <xf numFmtId="172" fontId="3" fillId="2" borderId="5" xfId="0" applyNumberFormat="1" applyFont="1" applyFill="1" applyBorder="1" applyAlignment="1" applyProtection="1">
      <alignment horizontal="center"/>
      <protection/>
    </xf>
    <xf numFmtId="9" fontId="3" fillId="2" borderId="0" xfId="0" applyNumberFormat="1" applyFont="1" applyFill="1" applyBorder="1" applyAlignment="1" applyProtection="1">
      <alignment horizontal="center"/>
      <protection/>
    </xf>
    <xf numFmtId="172" fontId="3" fillId="2" borderId="5" xfId="0" applyNumberFormat="1" applyFont="1" applyFill="1" applyBorder="1" applyAlignment="1" applyProtection="1">
      <alignment/>
      <protection/>
    </xf>
    <xf numFmtId="10" fontId="4" fillId="3" borderId="6" xfId="0" applyNumberFormat="1" applyFont="1" applyFill="1" applyBorder="1" applyAlignment="1" applyProtection="1">
      <alignment horizontal="center"/>
      <protection locked="0"/>
    </xf>
    <xf numFmtId="164" fontId="4" fillId="3" borderId="6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76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172" fontId="2" fillId="0" borderId="0" xfId="0" applyNumberFormat="1" applyAlignment="1">
      <alignment/>
    </xf>
    <xf numFmtId="9" fontId="5" fillId="0" borderId="0" xfId="0" applyNumberFormat="1" applyFont="1" applyAlignment="1" applyProtection="1">
      <alignment/>
      <protection/>
    </xf>
    <xf numFmtId="0" fontId="4" fillId="3" borderId="7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fill"/>
      <protection/>
    </xf>
    <xf numFmtId="0" fontId="4" fillId="5" borderId="9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fill"/>
      <protection/>
    </xf>
    <xf numFmtId="0" fontId="3" fillId="4" borderId="0" xfId="0" applyFont="1" applyFill="1" applyBorder="1" applyAlignment="1">
      <alignment/>
    </xf>
    <xf numFmtId="9" fontId="3" fillId="4" borderId="0" xfId="0" applyNumberFormat="1" applyFont="1" applyFill="1" applyBorder="1" applyAlignment="1" applyProtection="1">
      <alignment/>
      <protection/>
    </xf>
    <xf numFmtId="176" fontId="3" fillId="4" borderId="0" xfId="0" applyNumberFormat="1" applyFont="1" applyFill="1" applyBorder="1" applyAlignment="1" applyProtection="1">
      <alignment/>
      <protection/>
    </xf>
    <xf numFmtId="180" fontId="3" fillId="2" borderId="5" xfId="0" applyNumberFormat="1" applyFont="1" applyFill="1" applyBorder="1" applyAlignment="1" applyProtection="1">
      <alignment horizontal="center"/>
      <protection/>
    </xf>
    <xf numFmtId="173" fontId="3" fillId="2" borderId="5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>
      <alignment horizontal="center"/>
    </xf>
    <xf numFmtId="181" fontId="3" fillId="2" borderId="0" xfId="0" applyNumberFormat="1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 horizontal="left"/>
      <protection locked="0"/>
    </xf>
    <xf numFmtId="0" fontId="4" fillId="5" borderId="5" xfId="0" applyFont="1" applyFill="1" applyBorder="1" applyAlignment="1" applyProtection="1">
      <alignment horizontal="left"/>
      <protection locked="0"/>
    </xf>
    <xf numFmtId="188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  <protection/>
    </xf>
    <xf numFmtId="176" fontId="6" fillId="2" borderId="0" xfId="0" applyNumberFormat="1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4" xfId="0" applyFont="1" applyFill="1" applyBorder="1" applyAlignment="1" applyProtection="1">
      <alignment horizontal="left"/>
      <protection/>
    </xf>
    <xf numFmtId="173" fontId="6" fillId="2" borderId="0" xfId="0" applyNumberFormat="1" applyFont="1" applyFill="1" applyBorder="1" applyAlignment="1" applyProtection="1">
      <alignment/>
      <protection/>
    </xf>
    <xf numFmtId="176" fontId="6" fillId="2" borderId="0" xfId="0" applyNumberFormat="1" applyFont="1" applyFill="1" applyBorder="1" applyAlignment="1" applyProtection="1">
      <alignment/>
      <protection/>
    </xf>
    <xf numFmtId="176" fontId="6" fillId="2" borderId="5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173" fontId="6" fillId="2" borderId="0" xfId="0" applyNumberFormat="1" applyFont="1" applyFill="1" applyBorder="1" applyAlignment="1" applyProtection="1">
      <alignment horizontal="center"/>
      <protection/>
    </xf>
    <xf numFmtId="176" fontId="6" fillId="2" borderId="5" xfId="0" applyNumberFormat="1" applyFont="1" applyFill="1" applyBorder="1" applyAlignment="1" applyProtection="1">
      <alignment horizontal="center"/>
      <protection/>
    </xf>
    <xf numFmtId="0" fontId="6" fillId="5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166" fontId="4" fillId="5" borderId="0" xfId="0" applyNumberFormat="1" applyFont="1" applyFill="1" applyBorder="1" applyAlignment="1" applyProtection="1">
      <alignment horizontal="center"/>
      <protection locked="0"/>
    </xf>
    <xf numFmtId="169" fontId="4" fillId="3" borderId="6" xfId="0" applyNumberFormat="1" applyFont="1" applyFill="1" applyBorder="1" applyAlignment="1" applyProtection="1">
      <alignment horizontal="center"/>
      <protection locked="0"/>
    </xf>
    <xf numFmtId="169" fontId="4" fillId="5" borderId="8" xfId="0" applyNumberFormat="1" applyFont="1" applyFill="1" applyBorder="1" applyAlignment="1" applyProtection="1">
      <alignment horizontal="center"/>
      <protection locked="0"/>
    </xf>
    <xf numFmtId="169" fontId="4" fillId="3" borderId="7" xfId="0" applyNumberFormat="1" applyFont="1" applyFill="1" applyBorder="1" applyAlignment="1" applyProtection="1">
      <alignment horizontal="center"/>
      <protection locked="0"/>
    </xf>
    <xf numFmtId="169" fontId="3" fillId="2" borderId="0" xfId="0" applyNumberFormat="1" applyFont="1" applyFill="1" applyBorder="1" applyAlignment="1">
      <alignment horizontal="center"/>
    </xf>
    <xf numFmtId="176" fontId="4" fillId="2" borderId="0" xfId="0" applyNumberFormat="1" applyFont="1" applyFill="1" applyBorder="1" applyAlignment="1" applyProtection="1">
      <alignment/>
      <protection/>
    </xf>
    <xf numFmtId="166" fontId="4" fillId="5" borderId="2" xfId="0" applyNumberFormat="1" applyFont="1" applyFill="1" applyBorder="1" applyAlignment="1" applyProtection="1">
      <alignment horizontal="center"/>
      <protection locked="0"/>
    </xf>
    <xf numFmtId="183" fontId="4" fillId="5" borderId="0" xfId="0" applyNumberFormat="1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88" fontId="8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 horizontal="center"/>
      <protection/>
    </xf>
    <xf numFmtId="18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73" fontId="8" fillId="0" borderId="0" xfId="0" applyNumberFormat="1" applyFont="1" applyFill="1" applyBorder="1" applyAlignment="1" applyProtection="1">
      <alignment horizontal="center"/>
      <protection/>
    </xf>
    <xf numFmtId="173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fill"/>
      <protection/>
    </xf>
    <xf numFmtId="0" fontId="3" fillId="0" borderId="0" xfId="0" applyFont="1" applyFill="1" applyBorder="1" applyAlignment="1" applyProtection="1">
      <alignment horizontal="fill"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73" fontId="8" fillId="0" borderId="0" xfId="0" applyNumberFormat="1" applyFont="1" applyFill="1" applyBorder="1" applyAlignment="1" applyProtection="1">
      <alignment horizontal="center"/>
      <protection locked="0"/>
    </xf>
    <xf numFmtId="173" fontId="4" fillId="0" borderId="0" xfId="0" applyNumberFormat="1" applyFont="1" applyFill="1" applyBorder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center"/>
      <protection/>
    </xf>
    <xf numFmtId="172" fontId="8" fillId="0" borderId="0" xfId="0" applyNumberFormat="1" applyFont="1" applyFill="1" applyBorder="1" applyAlignment="1" applyProtection="1">
      <alignment horizontal="left"/>
      <protection/>
    </xf>
    <xf numFmtId="172" fontId="3" fillId="0" borderId="0" xfId="0" applyNumberFormat="1" applyFont="1" applyFill="1" applyBorder="1" applyAlignment="1" applyProtection="1">
      <alignment horizontal="left"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 horizontal="center"/>
      <protection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172" fontId="8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173" fontId="5" fillId="0" borderId="0" xfId="0" applyNumberFormat="1" applyFont="1" applyFill="1" applyAlignment="1" applyProtection="1">
      <alignment/>
      <protection/>
    </xf>
    <xf numFmtId="172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quotePrefix="1">
      <alignment horizontal="left"/>
    </xf>
    <xf numFmtId="176" fontId="4" fillId="0" borderId="0" xfId="0" applyNumberFormat="1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quotePrefix="1">
      <alignment horizontal="left"/>
    </xf>
    <xf numFmtId="2" fontId="3" fillId="2" borderId="0" xfId="0" applyNumberFormat="1" applyFont="1" applyFill="1" applyBorder="1" applyAlignment="1" applyProtection="1">
      <alignment horizontal="center"/>
      <protection/>
    </xf>
    <xf numFmtId="173" fontId="3" fillId="2" borderId="0" xfId="0" applyNumberFormat="1" applyFont="1" applyFill="1" applyBorder="1" applyAlignment="1" applyProtection="1" quotePrefix="1">
      <alignment horizontal="left"/>
      <protection/>
    </xf>
    <xf numFmtId="37" fontId="3" fillId="0" borderId="0" xfId="0" applyNumberFormat="1" applyFont="1" applyFill="1" applyBorder="1" applyAlignment="1" applyProtection="1" quotePrefix="1">
      <alignment horizontal="center"/>
      <protection/>
    </xf>
    <xf numFmtId="37" fontId="3" fillId="0" borderId="0" xfId="0" applyNumberFormat="1" applyFont="1" applyFill="1" applyBorder="1" applyAlignment="1" applyProtection="1" quotePrefix="1">
      <alignment horizontal="left"/>
      <protection/>
    </xf>
    <xf numFmtId="0" fontId="3" fillId="0" borderId="0" xfId="0" applyFont="1" applyFill="1" applyBorder="1" applyAlignment="1" quotePrefix="1">
      <alignment horizontal="left"/>
    </xf>
    <xf numFmtId="197" fontId="3" fillId="0" borderId="0" xfId="15" applyNumberFormat="1" applyFont="1" applyAlignment="1">
      <alignment/>
    </xf>
    <xf numFmtId="200" fontId="3" fillId="0" borderId="0" xfId="17" applyNumberFormat="1" applyFont="1" applyAlignment="1">
      <alignment/>
    </xf>
    <xf numFmtId="0" fontId="8" fillId="2" borderId="2" xfId="0" applyFont="1" applyFill="1" applyBorder="1" applyAlignment="1" applyProtection="1" quotePrefix="1">
      <alignment horizontal="left"/>
      <protection/>
    </xf>
    <xf numFmtId="0" fontId="4" fillId="5" borderId="4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2" fillId="0" borderId="1" xfId="0" applyBorder="1" applyAlignment="1">
      <alignment/>
    </xf>
    <xf numFmtId="0" fontId="3" fillId="4" borderId="4" xfId="0" applyFont="1" applyFill="1" applyBorder="1" applyAlignment="1" quotePrefix="1">
      <alignment horizontal="left"/>
    </xf>
    <xf numFmtId="0" fontId="3" fillId="4" borderId="3" xfId="0" applyFont="1" applyFill="1" applyBorder="1" applyAlignment="1" applyProtection="1">
      <alignment horizontal="fill"/>
      <protection/>
    </xf>
    <xf numFmtId="0" fontId="3" fillId="4" borderId="5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9" fontId="3" fillId="4" borderId="9" xfId="0" applyNumberFormat="1" applyFont="1" applyFill="1" applyBorder="1" applyAlignment="1" applyProtection="1">
      <alignment/>
      <protection/>
    </xf>
    <xf numFmtId="0" fontId="2" fillId="0" borderId="4" xfId="0" applyBorder="1" applyAlignment="1">
      <alignment/>
    </xf>
    <xf numFmtId="0" fontId="3" fillId="4" borderId="4" xfId="0" applyFont="1" applyFill="1" applyBorder="1" applyAlignment="1" quotePrefix="1">
      <alignment horizontal="center"/>
    </xf>
    <xf numFmtId="0" fontId="7" fillId="4" borderId="4" xfId="0" applyFont="1" applyFill="1" applyBorder="1" applyAlignment="1" applyProtection="1" quotePrefix="1">
      <alignment horizontal="center"/>
      <protection/>
    </xf>
    <xf numFmtId="0" fontId="3" fillId="4" borderId="10" xfId="0" applyFont="1" applyFill="1" applyBorder="1" applyAlignment="1">
      <alignment/>
    </xf>
    <xf numFmtId="176" fontId="3" fillId="4" borderId="9" xfId="0" applyNumberFormat="1" applyFont="1" applyFill="1" applyBorder="1" applyAlignment="1" applyProtection="1">
      <alignment/>
      <protection/>
    </xf>
    <xf numFmtId="176" fontId="3" fillId="4" borderId="11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>
      <alignment/>
    </xf>
    <xf numFmtId="0" fontId="3" fillId="2" borderId="4" xfId="0" applyFont="1" applyFill="1" applyBorder="1" applyAlignment="1" applyProtection="1" quotePrefix="1">
      <alignment horizontal="left"/>
      <protection/>
    </xf>
    <xf numFmtId="0" fontId="11" fillId="4" borderId="4" xfId="20" applyFont="1" applyFill="1" applyBorder="1" applyAlignment="1" applyProtection="1">
      <alignment horizontal="center"/>
      <protection/>
    </xf>
    <xf numFmtId="0" fontId="7" fillId="4" borderId="0" xfId="0" applyFont="1" applyFill="1" applyBorder="1" applyAlignment="1" applyProtection="1">
      <alignment horizontal="center"/>
      <protection/>
    </xf>
    <xf numFmtId="180" fontId="4" fillId="3" borderId="6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676275</xdr:colOff>
      <xdr:row>2</xdr:row>
      <xdr:rowOff>9525</xdr:rowOff>
    </xdr:to>
    <xdr:pic>
      <xdr:nvPicPr>
        <xdr:cNvPr id="1" name="Picture 192"/>
        <xdr:cNvPicPr preferRelativeResize="1">
          <a:picLocks noChangeAspect="1"/>
        </xdr:cNvPicPr>
      </xdr:nvPicPr>
      <xdr:blipFill>
        <a:blip r:embed="rId1"/>
        <a:srcRect l="2563" t="16453" b="19195"/>
        <a:stretch>
          <a:fillRect/>
        </a:stretch>
      </xdr:blipFill>
      <xdr:spPr>
        <a:xfrm>
          <a:off x="19050" y="19050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mafra.gov.on.ca/WINDOWS\Desktop\Program%20Files\Bear2000\Budget%20Files\Crops\Grains\fred.bp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ok19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ok20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ok26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mafra.gov.on.ca/Data\WebBudgets\serverfilesSep4\webs\iis\test\BudgetFiles\Livestock\Cattle\Dairk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mafra.gov.on.ca/WINDOWS\Desktop\Program%20Files\Bear2000\Budget%20Files\Crops\Grains\Corn.bp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6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mafra.gov.on.ca/WINDOWS\Desktop\Program%20Files\Bear2000\Budget%20Files\Crops\Forages\Silage.bp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mafra.gov.on.ca/WINDOWS\Desktop\Program%20Files\Bear2000\Budget%20Files\Livestock\Poultry\turkey.bp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ok11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ok12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ok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AT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GOAT"/>
    </sheetNames>
    <sheetDataSet>
      <sheetData sheetId="0">
        <row r="1">
          <cell r="A1" t="str">
            <v>Dgoat 1</v>
          </cell>
          <cell r="C1" t="str">
            <v>DAIRY GOAT HERD ENTERPRISE BUDGET</v>
          </cell>
          <cell r="G1" t="str">
            <v>Revised:May '98</v>
          </cell>
        </row>
        <row r="2">
          <cell r="A2">
            <v>302</v>
          </cell>
          <cell r="F2" t="str">
            <v>Profit Per Doe:</v>
          </cell>
          <cell r="H2" t="e">
            <v>#REF!</v>
          </cell>
        </row>
        <row r="3">
          <cell r="G3" t="str">
            <v>Revised: June 94</v>
          </cell>
        </row>
        <row r="4">
          <cell r="A4" t="str">
            <v>Number of Milking Does</v>
          </cell>
          <cell r="D4" t="str">
            <v>hd</v>
          </cell>
          <cell r="E4">
            <v>300</v>
          </cell>
        </row>
        <row r="5">
          <cell r="A5" t="str">
            <v>Percent Does Culled</v>
          </cell>
          <cell r="D5" t="str">
            <v>%</v>
          </cell>
          <cell r="E5">
            <v>20</v>
          </cell>
        </row>
        <row r="6">
          <cell r="A6" t="str">
            <v>Milking Doe Death Loss</v>
          </cell>
          <cell r="D6" t="str">
            <v>%</v>
          </cell>
          <cell r="E6">
            <v>2</v>
          </cell>
        </row>
        <row r="7">
          <cell r="A7" t="str">
            <v>Weight of Cull Does</v>
          </cell>
          <cell r="D7" t="str">
            <v>lbs</v>
          </cell>
          <cell r="E7">
            <v>135</v>
          </cell>
        </row>
        <row r="8">
          <cell r="A8" t="str">
            <v>Price of Cull Does</v>
          </cell>
          <cell r="D8" t="str">
            <v>c/lb</v>
          </cell>
          <cell r="E8">
            <v>50</v>
          </cell>
        </row>
        <row r="9">
          <cell r="A9" t="str">
            <v>Replacement Does Raised</v>
          </cell>
          <cell r="D9" t="str">
            <v>hd</v>
          </cell>
          <cell r="E9">
            <v>66</v>
          </cell>
        </row>
        <row r="10">
          <cell r="A10" t="str">
            <v>Number of Breeding Bucks</v>
          </cell>
          <cell r="D10" t="str">
            <v>hd</v>
          </cell>
          <cell r="E10">
            <v>6</v>
          </cell>
        </row>
        <row r="11">
          <cell r="A11" t="str">
            <v>Weight of Cull Bucks</v>
          </cell>
          <cell r="D11" t="str">
            <v>lbs</v>
          </cell>
          <cell r="E11">
            <v>225</v>
          </cell>
        </row>
        <row r="12">
          <cell r="A12" t="str">
            <v>Price of Cull Bucks</v>
          </cell>
          <cell r="D12" t="str">
            <v>c/lb</v>
          </cell>
          <cell r="E12">
            <v>55</v>
          </cell>
        </row>
        <row r="13">
          <cell r="A13" t="str">
            <v>Number of Bucks Culled</v>
          </cell>
          <cell r="D13" t="str">
            <v>hd</v>
          </cell>
          <cell r="E13">
            <v>2</v>
          </cell>
        </row>
        <row r="14">
          <cell r="K14">
            <v>0</v>
          </cell>
        </row>
        <row r="15">
          <cell r="E15" t="str">
            <v>Opt.</v>
          </cell>
          <cell r="F15" t="str">
            <v> Expected</v>
          </cell>
          <cell r="G15" t="str">
            <v>Pess.</v>
          </cell>
          <cell r="K15">
            <v>107476</v>
          </cell>
        </row>
        <row r="16">
          <cell r="A16" t="str">
            <v>Percent Kid Crop</v>
          </cell>
          <cell r="D16" t="str">
            <v>%</v>
          </cell>
          <cell r="E16">
            <v>200</v>
          </cell>
          <cell r="F16">
            <v>180</v>
          </cell>
          <cell r="G16">
            <v>150</v>
          </cell>
          <cell r="K16" t="e">
            <v>#REF!</v>
          </cell>
        </row>
        <row r="17">
          <cell r="A17" t="str">
            <v>Percent Kid Mortality</v>
          </cell>
          <cell r="D17" t="str">
            <v>%</v>
          </cell>
          <cell r="E17">
            <v>5</v>
          </cell>
          <cell r="F17">
            <v>10</v>
          </cell>
          <cell r="G17">
            <v>15</v>
          </cell>
          <cell r="K17">
            <v>154447.5</v>
          </cell>
        </row>
        <row r="18">
          <cell r="A18" t="str">
            <v>Marketable Kid Crop</v>
          </cell>
          <cell r="D18" t="str">
            <v>hd</v>
          </cell>
          <cell r="E18">
            <v>570</v>
          </cell>
          <cell r="F18">
            <v>486</v>
          </cell>
          <cell r="G18">
            <v>383</v>
          </cell>
          <cell r="K18">
            <v>47035.833680291034</v>
          </cell>
        </row>
        <row r="19">
          <cell r="A19" t="str">
            <v>Selling Price of Kids</v>
          </cell>
          <cell r="D19" t="str">
            <v>$/hd</v>
          </cell>
          <cell r="E19">
            <v>35</v>
          </cell>
          <cell r="F19">
            <v>20</v>
          </cell>
          <cell r="G19">
            <v>15</v>
          </cell>
        </row>
        <row r="20">
          <cell r="A20" t="str">
            <v>Milk Yield per Doe</v>
          </cell>
          <cell r="D20" t="str">
            <v>l/hd</v>
          </cell>
          <cell r="E20">
            <v>800</v>
          </cell>
          <cell r="F20">
            <v>675</v>
          </cell>
          <cell r="G20">
            <v>500</v>
          </cell>
          <cell r="K20" t="str">
            <v>Tran!D3..G14</v>
          </cell>
        </row>
        <row r="21">
          <cell r="A21" t="str">
            <v>Price of Milk</v>
          </cell>
          <cell r="D21" t="str">
            <v>$/hl</v>
          </cell>
          <cell r="E21">
            <v>80</v>
          </cell>
          <cell r="F21">
            <v>70</v>
          </cell>
          <cell r="G21">
            <v>50</v>
          </cell>
          <cell r="K21" t="str">
            <v>Allo!C3..J14</v>
          </cell>
        </row>
        <row r="22">
          <cell r="K22">
            <v>300</v>
          </cell>
        </row>
        <row r="23">
          <cell r="A23" t="str">
            <v>Expected Revenues:</v>
          </cell>
          <cell r="D23" t="str">
            <v>Unit</v>
          </cell>
          <cell r="E23" t="str">
            <v>Number</v>
          </cell>
          <cell r="F23" t="str">
            <v>$/Unit</v>
          </cell>
          <cell r="H23" t="str">
            <v>$/Year</v>
          </cell>
          <cell r="K23">
            <v>600</v>
          </cell>
        </row>
        <row r="24">
          <cell r="A24" t="str">
            <v> Breeding Doe Kid Sales </v>
          </cell>
          <cell r="D24" t="str">
            <v>hd</v>
          </cell>
          <cell r="E24">
            <v>0</v>
          </cell>
          <cell r="F24">
            <v>150</v>
          </cell>
          <cell r="H24">
            <v>0</v>
          </cell>
          <cell r="K24">
            <v>32040</v>
          </cell>
        </row>
        <row r="25">
          <cell r="A25" t="str">
            <v> Breeding Buck Kid Sales</v>
          </cell>
          <cell r="D25" t="str">
            <v>hd</v>
          </cell>
          <cell r="E25">
            <v>0</v>
          </cell>
          <cell r="F25">
            <v>250</v>
          </cell>
          <cell r="H25">
            <v>0</v>
          </cell>
          <cell r="K25">
            <v>4500</v>
          </cell>
        </row>
        <row r="26">
          <cell r="A26" t="str">
            <v> Other Breeding Stock Sales</v>
          </cell>
          <cell r="D26" t="str">
            <v>hd</v>
          </cell>
          <cell r="E26">
            <v>0</v>
          </cell>
          <cell r="F26">
            <v>0</v>
          </cell>
          <cell r="H26">
            <v>0</v>
          </cell>
          <cell r="K26">
            <v>12000</v>
          </cell>
        </row>
        <row r="27">
          <cell r="A27" t="str">
            <v> Cull Doe Sales</v>
          </cell>
          <cell r="D27" t="str">
            <v>hd</v>
          </cell>
          <cell r="E27">
            <v>60</v>
          </cell>
          <cell r="F27">
            <v>67.5</v>
          </cell>
          <cell r="H27">
            <v>4050</v>
          </cell>
          <cell r="K27">
            <v>15600</v>
          </cell>
        </row>
        <row r="28">
          <cell r="A28" t="str">
            <v> Cull Buck Sales</v>
          </cell>
          <cell r="D28" t="str">
            <v>hd</v>
          </cell>
          <cell r="E28">
            <v>2</v>
          </cell>
          <cell r="F28">
            <v>123.75</v>
          </cell>
          <cell r="H28">
            <v>247.5</v>
          </cell>
          <cell r="K28">
            <v>0</v>
          </cell>
        </row>
        <row r="29">
          <cell r="A29" t="str">
            <v> Market Kid Sales</v>
          </cell>
          <cell r="D29" t="str">
            <v>hd</v>
          </cell>
          <cell r="E29">
            <v>420</v>
          </cell>
          <cell r="F29">
            <v>20</v>
          </cell>
          <cell r="H29">
            <v>8400</v>
          </cell>
        </row>
        <row r="30">
          <cell r="A30" t="str">
            <v> Milk Sales </v>
          </cell>
          <cell r="D30" t="str">
            <v>hl</v>
          </cell>
          <cell r="E30">
            <v>2025</v>
          </cell>
          <cell r="F30">
            <v>70</v>
          </cell>
          <cell r="H30">
            <v>141750</v>
          </cell>
        </row>
        <row r="31">
          <cell r="A31" t="str">
            <v>-</v>
          </cell>
          <cell r="B31" t="str">
            <v>-</v>
          </cell>
          <cell r="H31" t="str">
            <v>-</v>
          </cell>
        </row>
        <row r="32">
          <cell r="A32" t="str">
            <v>Expected Total Revenue</v>
          </cell>
          <cell r="H32">
            <v>154447.5</v>
          </cell>
        </row>
        <row r="34">
          <cell r="A34" t="str">
            <v>=</v>
          </cell>
          <cell r="B34" t="str">
            <v>=</v>
          </cell>
          <cell r="C34" t="str">
            <v>=</v>
          </cell>
          <cell r="D34" t="str">
            <v>=</v>
          </cell>
          <cell r="E34" t="str">
            <v>=</v>
          </cell>
          <cell r="F34" t="str">
            <v>=</v>
          </cell>
          <cell r="G34" t="str">
            <v>=</v>
          </cell>
          <cell r="H34" t="str">
            <v>=</v>
          </cell>
        </row>
        <row r="35">
          <cell r="A35" t="str">
            <v>Number of Does to Base Variable Costs on ==&gt;</v>
          </cell>
          <cell r="F35">
            <v>300</v>
          </cell>
          <cell r="G35" t="str">
            <v>**</v>
          </cell>
        </row>
        <row r="36">
          <cell r="A36" t="str">
            <v>**(Enter the herd size used to determine variable costs)</v>
          </cell>
        </row>
        <row r="38">
          <cell r="A38" t="str">
            <v>EXPENSES</v>
          </cell>
          <cell r="E38" t="str">
            <v>Typical</v>
          </cell>
          <cell r="F38" t="str">
            <v>$/Year</v>
          </cell>
          <cell r="H38" t="str">
            <v>$/Year</v>
          </cell>
        </row>
        <row r="39">
          <cell r="E39" t="str">
            <v>$/Doe</v>
          </cell>
          <cell r="F39" t="str">
            <v>300 Does</v>
          </cell>
          <cell r="G39" t="str">
            <v>$/Doe</v>
          </cell>
          <cell r="H39" t="str">
            <v> 300 Does</v>
          </cell>
        </row>
        <row r="40">
          <cell r="A40" t="str">
            <v> Variable Costs:</v>
          </cell>
          <cell r="E40" t="str">
            <v>--------</v>
          </cell>
          <cell r="F40" t="str">
            <v>--------</v>
          </cell>
          <cell r="G40" t="str">
            <v>   -----</v>
          </cell>
          <cell r="H40" t="str">
            <v> --------</v>
          </cell>
        </row>
        <row r="41">
          <cell r="A41" t="str">
            <v>Purchased Feed</v>
          </cell>
        </row>
        <row r="42">
          <cell r="A42" t="str">
            <v>  Hay  #1</v>
          </cell>
          <cell r="B42" t="str">
            <v> 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       #2</v>
          </cell>
          <cell r="B43" t="str">
            <v> 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  Grain#1</v>
          </cell>
          <cell r="B44" t="str">
            <v>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       #2</v>
          </cell>
          <cell r="B45" t="str">
            <v> 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  Protein Supplement</v>
          </cell>
          <cell r="E46">
            <v>6</v>
          </cell>
          <cell r="F46">
            <v>2250</v>
          </cell>
          <cell r="G46">
            <v>7.5</v>
          </cell>
          <cell r="H46">
            <v>2250</v>
          </cell>
        </row>
        <row r="47">
          <cell r="A47" t="str">
            <v>  Salt &amp; Mineral</v>
          </cell>
          <cell r="E47">
            <v>5.3</v>
          </cell>
          <cell r="F47">
            <v>1590</v>
          </cell>
          <cell r="G47">
            <v>5.3</v>
          </cell>
          <cell r="H47">
            <v>1590</v>
          </cell>
        </row>
        <row r="48">
          <cell r="A48" t="str">
            <v>  Prepared Feeds</v>
          </cell>
          <cell r="E48">
            <v>100</v>
          </cell>
          <cell r="F48">
            <v>28200</v>
          </cell>
          <cell r="G48">
            <v>94</v>
          </cell>
          <cell r="H48">
            <v>28200</v>
          </cell>
        </row>
        <row r="51">
          <cell r="A51" t="str">
            <v>Homegrown Feed: (from transfer table)</v>
          </cell>
        </row>
        <row r="52">
          <cell r="A52" t="str">
            <v> Crop Transfers (based on </v>
          </cell>
          <cell r="D52">
            <v>300</v>
          </cell>
          <cell r="E52" t="str">
            <v>Does)</v>
          </cell>
          <cell r="G52">
            <v>0</v>
          </cell>
          <cell r="H52">
            <v>0</v>
          </cell>
        </row>
        <row r="54">
          <cell r="E54" t="str">
            <v>Typical</v>
          </cell>
          <cell r="F54" t="str">
            <v>$/Year</v>
          </cell>
          <cell r="H54" t="str">
            <v>$/Year</v>
          </cell>
        </row>
        <row r="55">
          <cell r="E55" t="str">
            <v>$/Doe</v>
          </cell>
          <cell r="F55" t="str">
            <v>300 Does</v>
          </cell>
          <cell r="G55" t="str">
            <v>$/Doe</v>
          </cell>
          <cell r="H55" t="str">
            <v> 300 Does</v>
          </cell>
        </row>
        <row r="56">
          <cell r="E56" t="str">
            <v>--------</v>
          </cell>
          <cell r="F56" t="str">
            <v>--------</v>
          </cell>
          <cell r="G56" t="str">
            <v>   -----</v>
          </cell>
          <cell r="H56" t="str">
            <v> --------</v>
          </cell>
        </row>
        <row r="57">
          <cell r="B57" t="str">
            <v> *** (Input ONLY if NOT using Crop Transfer table) ***</v>
          </cell>
        </row>
        <row r="58">
          <cell r="A58" t="str">
            <v>Pasture#1</v>
          </cell>
          <cell r="B58" t="str">
            <v> Improved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       #2</v>
          </cell>
          <cell r="B59" t="str">
            <v> Unimpoved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       #3</v>
          </cell>
          <cell r="B60" t="str">
            <v> 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Hay    #1</v>
          </cell>
          <cell r="B61" t="str">
            <v> </v>
          </cell>
          <cell r="E61">
            <v>15</v>
          </cell>
          <cell r="F61">
            <v>4200</v>
          </cell>
          <cell r="G61">
            <v>14</v>
          </cell>
          <cell r="H61">
            <v>4200</v>
          </cell>
        </row>
        <row r="62">
          <cell r="A62" t="str">
            <v>       #2</v>
          </cell>
          <cell r="B62" t="str">
            <v> </v>
          </cell>
          <cell r="E62">
            <v>32</v>
          </cell>
          <cell r="F62">
            <v>9000</v>
          </cell>
          <cell r="G62">
            <v>30</v>
          </cell>
          <cell r="H62">
            <v>9000</v>
          </cell>
        </row>
        <row r="63">
          <cell r="A63" t="str">
            <v>Grain  #1</v>
          </cell>
          <cell r="B63" t="str">
            <v> 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       #2</v>
          </cell>
          <cell r="B64" t="str">
            <v> 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G65" t="str">
            <v>-</v>
          </cell>
          <cell r="H65" t="str">
            <v>  -------</v>
          </cell>
        </row>
        <row r="66">
          <cell r="A66" t="str">
            <v>Total Feed Costs</v>
          </cell>
          <cell r="G66">
            <v>150.8</v>
          </cell>
          <cell r="H66">
            <v>45240</v>
          </cell>
        </row>
        <row r="67">
          <cell r="H67" t="str">
            <v>$/Year</v>
          </cell>
        </row>
        <row r="68">
          <cell r="E68" t="str">
            <v>Head</v>
          </cell>
          <cell r="F68" t="str">
            <v>$/Head</v>
          </cell>
          <cell r="G68" t="str">
            <v>$/Doe</v>
          </cell>
          <cell r="H68" t="str">
            <v> 300 Does</v>
          </cell>
        </row>
        <row r="69">
          <cell r="A69" t="str">
            <v> Livestock Replacement</v>
          </cell>
          <cell r="E69" t="str">
            <v>    ----</v>
          </cell>
          <cell r="F69" t="str">
            <v>  ------</v>
          </cell>
          <cell r="G69" t="str">
            <v>   -----</v>
          </cell>
          <cell r="H69" t="str">
            <v>-</v>
          </cell>
        </row>
        <row r="70">
          <cell r="A70" t="str">
            <v>  Buck Purchase</v>
          </cell>
          <cell r="E70">
            <v>2</v>
          </cell>
          <cell r="F70">
            <v>300</v>
          </cell>
          <cell r="G70">
            <v>2</v>
          </cell>
          <cell r="H70">
            <v>600</v>
          </cell>
        </row>
        <row r="71">
          <cell r="A71" t="str">
            <v>  Buck Lease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 t="str">
            <v>  Milking Doe Purchase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 t="str">
            <v>  Replacement Doe Purchase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 t="str">
            <v>  Other -</v>
          </cell>
          <cell r="B74" t="str">
            <v> Description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6">
          <cell r="E76" t="str">
            <v>Typical</v>
          </cell>
          <cell r="F76" t="str">
            <v>$/Year</v>
          </cell>
          <cell r="H76" t="str">
            <v>$/Year</v>
          </cell>
        </row>
        <row r="77">
          <cell r="E77" t="str">
            <v>$/Doe</v>
          </cell>
          <cell r="F77" t="str">
            <v>300 Does</v>
          </cell>
          <cell r="G77" t="str">
            <v>$/Doe</v>
          </cell>
          <cell r="H77" t="str">
            <v> 300 Does</v>
          </cell>
        </row>
        <row r="78">
          <cell r="E78" t="str">
            <v> -------</v>
          </cell>
          <cell r="F78" t="str">
            <v>--------</v>
          </cell>
          <cell r="G78" t="str">
            <v>   -----</v>
          </cell>
          <cell r="H78" t="str">
            <v>-</v>
          </cell>
        </row>
        <row r="79">
          <cell r="A79" t="str">
            <v> Hired Labour</v>
          </cell>
          <cell r="E79">
            <v>0</v>
          </cell>
          <cell r="F79">
            <v>1200</v>
          </cell>
          <cell r="G79">
            <v>4</v>
          </cell>
          <cell r="H79">
            <v>1200</v>
          </cell>
        </row>
        <row r="80">
          <cell r="A80" t="str">
            <v> Veterinary &amp; Medicine</v>
          </cell>
          <cell r="E80">
            <v>16</v>
          </cell>
          <cell r="F80">
            <v>4500</v>
          </cell>
          <cell r="G80">
            <v>15</v>
          </cell>
          <cell r="H80">
            <v>4500</v>
          </cell>
        </row>
        <row r="81">
          <cell r="A81" t="str">
            <v> Breeding Costs</v>
          </cell>
          <cell r="E81">
            <v>20</v>
          </cell>
          <cell r="F81">
            <v>0</v>
          </cell>
          <cell r="G81">
            <v>0</v>
          </cell>
          <cell r="H81">
            <v>0</v>
          </cell>
        </row>
        <row r="82">
          <cell r="A82" t="str">
            <v> Bedding</v>
          </cell>
          <cell r="E82">
            <v>1</v>
          </cell>
          <cell r="F82">
            <v>300</v>
          </cell>
          <cell r="G82">
            <v>1</v>
          </cell>
          <cell r="H82">
            <v>300</v>
          </cell>
        </row>
        <row r="83">
          <cell r="A83" t="str">
            <v> Marketing</v>
          </cell>
          <cell r="E83">
            <v>15</v>
          </cell>
          <cell r="F83">
            <v>5100</v>
          </cell>
          <cell r="G83">
            <v>17</v>
          </cell>
          <cell r="H83">
            <v>5100</v>
          </cell>
        </row>
        <row r="84">
          <cell r="A84" t="str">
            <v> Transportation</v>
          </cell>
          <cell r="E84">
            <v>35</v>
          </cell>
          <cell r="F84">
            <v>10500</v>
          </cell>
          <cell r="G84">
            <v>35</v>
          </cell>
          <cell r="H84">
            <v>10500</v>
          </cell>
        </row>
        <row r="85">
          <cell r="A85" t="str">
            <v> Livestock Supplies</v>
          </cell>
          <cell r="E85">
            <v>12.38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 Custom Work</v>
          </cell>
          <cell r="E86">
            <v>5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 Equipment Rental</v>
          </cell>
          <cell r="E87">
            <v>5.26</v>
          </cell>
          <cell r="F87">
            <v>0</v>
          </cell>
          <cell r="G87">
            <v>0</v>
          </cell>
          <cell r="H87">
            <v>0</v>
          </cell>
        </row>
        <row r="88">
          <cell r="A88" t="str">
            <v> Miscellaneous (Tags, etc.)</v>
          </cell>
          <cell r="E88">
            <v>32</v>
          </cell>
          <cell r="F88">
            <v>10500</v>
          </cell>
          <cell r="G88">
            <v>35</v>
          </cell>
          <cell r="H88">
            <v>10500</v>
          </cell>
        </row>
        <row r="89">
          <cell r="D89" t="str">
            <v>Typical</v>
          </cell>
          <cell r="E89" t="str">
            <v> Enterprise</v>
          </cell>
          <cell r="H89" t="str">
            <v>$/Year</v>
          </cell>
        </row>
        <row r="90">
          <cell r="D90" t="str">
            <v> $/Doe</v>
          </cell>
          <cell r="E90" t="str">
            <v> $ Allocated</v>
          </cell>
          <cell r="G90" t="str">
            <v>$/Doe</v>
          </cell>
          <cell r="H90" t="str">
            <v> 300 Does</v>
          </cell>
        </row>
        <row r="91">
          <cell r="A91" t="str">
            <v> Fuel</v>
          </cell>
          <cell r="D91">
            <v>2.5</v>
          </cell>
          <cell r="E91">
            <v>0</v>
          </cell>
          <cell r="G91">
            <v>2.5</v>
          </cell>
          <cell r="H91">
            <v>750</v>
          </cell>
        </row>
        <row r="92">
          <cell r="A92" t="str">
            <v> Mach. Repair &amp; Maint.</v>
          </cell>
          <cell r="D92">
            <v>4.25</v>
          </cell>
          <cell r="E92">
            <v>0</v>
          </cell>
          <cell r="G92">
            <v>4.25</v>
          </cell>
          <cell r="H92">
            <v>1275</v>
          </cell>
          <cell r="K92" t="str">
            <v>Wfarm!L4</v>
          </cell>
        </row>
        <row r="93">
          <cell r="A93" t="str">
            <v> Bldg. Repair &amp; Maint.</v>
          </cell>
          <cell r="D93">
            <v>40</v>
          </cell>
          <cell r="E93">
            <v>0</v>
          </cell>
          <cell r="G93">
            <v>40</v>
          </cell>
          <cell r="H93">
            <v>12000</v>
          </cell>
          <cell r="K93" t="str">
            <v>Wfarm!L5</v>
          </cell>
        </row>
        <row r="94">
          <cell r="A94" t="str">
            <v> Rent and Labour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K94" t="str">
            <v>Wfarm!L6</v>
          </cell>
        </row>
        <row r="95">
          <cell r="A95" t="str">
            <v> General Variable Costs</v>
          </cell>
          <cell r="D95">
            <v>44</v>
          </cell>
          <cell r="E95">
            <v>0</v>
          </cell>
          <cell r="G95">
            <v>44</v>
          </cell>
          <cell r="H95">
            <v>13200</v>
          </cell>
          <cell r="K95" t="str">
            <v>Wfarm!L7</v>
          </cell>
        </row>
        <row r="96">
          <cell r="A96" t="str">
            <v> Interest on</v>
          </cell>
          <cell r="C96" t="str">
            <v>%int</v>
          </cell>
          <cell r="D96" t="str">
            <v>%year</v>
          </cell>
          <cell r="K96" t="str">
            <v>Wfarm!L8</v>
          </cell>
        </row>
        <row r="97">
          <cell r="A97" t="str">
            <v> Operating Capital</v>
          </cell>
          <cell r="C97">
            <v>7.75</v>
          </cell>
          <cell r="D97">
            <v>33.3</v>
          </cell>
          <cell r="E97">
            <v>0</v>
          </cell>
          <cell r="G97">
            <v>7.703333333333333</v>
          </cell>
          <cell r="H97">
            <v>2311</v>
          </cell>
        </row>
        <row r="98">
          <cell r="G98" t="str">
            <v>  ------</v>
          </cell>
          <cell r="H98" t="str">
            <v>  ------</v>
          </cell>
        </row>
        <row r="99">
          <cell r="A99" t="str">
            <v>Total Variable Costs</v>
          </cell>
          <cell r="G99">
            <v>358.25333333333333</v>
          </cell>
          <cell r="H99">
            <v>107476</v>
          </cell>
          <cell r="K99" t="str">
            <v>Wfarm!L9</v>
          </cell>
        </row>
        <row r="100">
          <cell r="J100">
            <v>2311</v>
          </cell>
        </row>
        <row r="101">
          <cell r="D101" t="str">
            <v>Typical</v>
          </cell>
          <cell r="E101" t="str">
            <v> Enterprise</v>
          </cell>
          <cell r="H101" t="str">
            <v>$/Year</v>
          </cell>
        </row>
        <row r="102">
          <cell r="A102" t="str">
            <v>Fixed Costs:</v>
          </cell>
          <cell r="D102" t="str">
            <v> $/Doe</v>
          </cell>
          <cell r="E102" t="str">
            <v> $ Allocated</v>
          </cell>
          <cell r="G102" t="str">
            <v>$/Doe</v>
          </cell>
          <cell r="H102" t="str">
            <v> 300 Does</v>
          </cell>
        </row>
        <row r="103">
          <cell r="A103" t="str">
            <v> Depreciation</v>
          </cell>
          <cell r="D103">
            <v>26</v>
          </cell>
          <cell r="E103">
            <v>0</v>
          </cell>
          <cell r="G103" t="e">
            <v>#REF!</v>
          </cell>
          <cell r="H103" t="e">
            <v>#REF!</v>
          </cell>
        </row>
        <row r="104">
          <cell r="A104" t="str">
            <v> Interest on Term Loans</v>
          </cell>
          <cell r="D104">
            <v>45</v>
          </cell>
          <cell r="E104">
            <v>0</v>
          </cell>
          <cell r="G104" t="e">
            <v>#REF!</v>
          </cell>
          <cell r="H104" t="e">
            <v>#REF!</v>
          </cell>
        </row>
        <row r="105">
          <cell r="A105" t="str">
            <v> Long-term Leases</v>
          </cell>
          <cell r="D105">
            <v>0</v>
          </cell>
          <cell r="E105">
            <v>0</v>
          </cell>
          <cell r="G105" t="e">
            <v>#REF!</v>
          </cell>
          <cell r="H105" t="e">
            <v>#REF!</v>
          </cell>
          <cell r="K105" t="str">
            <v>Wfarm!K4</v>
          </cell>
        </row>
        <row r="106">
          <cell r="A106" t="str">
            <v> General Fixed Costs</v>
          </cell>
          <cell r="D106">
            <v>15</v>
          </cell>
          <cell r="E106">
            <v>0</v>
          </cell>
          <cell r="G106">
            <v>15</v>
          </cell>
          <cell r="H106">
            <v>4500</v>
          </cell>
          <cell r="K106" t="str">
            <v>Wfarm!K5</v>
          </cell>
        </row>
        <row r="107">
          <cell r="G107" t="str">
            <v>  ------</v>
          </cell>
          <cell r="H107" t="str">
            <v>  ------</v>
          </cell>
          <cell r="K107" t="str">
            <v>Wfarm!K6</v>
          </cell>
        </row>
        <row r="108">
          <cell r="A108" t="str">
            <v>Total Fixed Costs</v>
          </cell>
          <cell r="G108" t="e">
            <v>#REF!</v>
          </cell>
          <cell r="H108" t="e">
            <v>#REF!</v>
          </cell>
          <cell r="K108" t="str">
            <v>Wfarm!K7</v>
          </cell>
        </row>
        <row r="110">
          <cell r="A110" t="str">
            <v>Revenues:</v>
          </cell>
          <cell r="D110" t="str">
            <v>$/Doe</v>
          </cell>
          <cell r="E110" t="str">
            <v>$/Year</v>
          </cell>
        </row>
        <row r="111">
          <cell r="A111" t="str">
            <v>Total Expected Revenues</v>
          </cell>
          <cell r="D111">
            <v>514.825</v>
          </cell>
          <cell r="E111">
            <v>154447.5</v>
          </cell>
        </row>
        <row r="112">
          <cell r="A112" t="str">
            <v>    less: Variable Costs</v>
          </cell>
          <cell r="D112">
            <v>358.25333333333333</v>
          </cell>
          <cell r="E112">
            <v>107476</v>
          </cell>
        </row>
        <row r="113">
          <cell r="D113" t="str">
            <v>  ------</v>
          </cell>
          <cell r="E113" t="str">
            <v>  ------</v>
          </cell>
        </row>
        <row r="114">
          <cell r="A114" t="str">
            <v>Expected Operating Margin</v>
          </cell>
          <cell r="D114">
            <v>156.57166666666666</v>
          </cell>
          <cell r="E114">
            <v>46971.5</v>
          </cell>
        </row>
        <row r="115">
          <cell r="A115" t="str">
            <v>     less: Fixed Costs</v>
          </cell>
          <cell r="D115" t="e">
            <v>#REF!</v>
          </cell>
          <cell r="E115" t="e">
            <v>#REF!</v>
          </cell>
        </row>
        <row r="116">
          <cell r="D116" t="str">
            <v>  ------</v>
          </cell>
          <cell r="E116" t="str">
            <v>  ------</v>
          </cell>
        </row>
        <row r="117">
          <cell r="A117" t="str">
            <v>Expected Net Revenue</v>
          </cell>
          <cell r="D117" t="e">
            <v>#REF!</v>
          </cell>
          <cell r="E117" t="e">
            <v>#REF!</v>
          </cell>
        </row>
        <row r="120">
          <cell r="A120" t="str">
            <v>Expected Break-even per</v>
          </cell>
          <cell r="F120" t="str">
            <v>Kid Sold</v>
          </cell>
          <cell r="G120" t="str">
            <v> hl of Milk</v>
          </cell>
        </row>
        <row r="121">
          <cell r="A121" t="str">
            <v>Needed to Cover:</v>
          </cell>
          <cell r="D121" t="str">
            <v>Variable Costs</v>
          </cell>
          <cell r="F121" t="e">
            <v>#REF!</v>
          </cell>
          <cell r="G121" t="e">
            <v>#REF!</v>
          </cell>
        </row>
        <row r="122">
          <cell r="D122" t="str">
            <v>Fixed Costs</v>
          </cell>
          <cell r="F122" t="e">
            <v>#REF!</v>
          </cell>
          <cell r="G122" t="e">
            <v>#REF!</v>
          </cell>
        </row>
        <row r="123">
          <cell r="F123" t="str">
            <v>  ------</v>
          </cell>
          <cell r="G123" t="str">
            <v>  ------</v>
          </cell>
        </row>
        <row r="124">
          <cell r="D124" t="str">
            <v>Total Costs</v>
          </cell>
          <cell r="F124" t="e">
            <v>#REF!</v>
          </cell>
          <cell r="G124" t="e">
            <v>#REF!</v>
          </cell>
        </row>
        <row r="125">
          <cell r="A125" t="str">
            <v>=</v>
          </cell>
          <cell r="B125" t="str">
            <v>=</v>
          </cell>
          <cell r="C125" t="str">
            <v>=</v>
          </cell>
          <cell r="D125" t="str">
            <v>=</v>
          </cell>
          <cell r="E125" t="str">
            <v>=</v>
          </cell>
          <cell r="F125" t="str">
            <v>=</v>
          </cell>
          <cell r="G125" t="str">
            <v>=</v>
          </cell>
          <cell r="H125" t="str">
            <v>=</v>
          </cell>
          <cell r="J125" t="e">
            <v>#REF!</v>
          </cell>
        </row>
        <row r="126">
          <cell r="B126" t="str">
            <v>Chance of at least breaking even        ==&gt;</v>
          </cell>
          <cell r="G126" t="e">
            <v>#REF!</v>
          </cell>
          <cell r="H126" t="str">
            <v>StdPrKids</v>
          </cell>
          <cell r="J126" t="e">
            <v>#REF!</v>
          </cell>
        </row>
        <row r="127">
          <cell r="B127" t="str">
            <v>Chance of at least</v>
          </cell>
          <cell r="D127">
            <v>0</v>
          </cell>
          <cell r="E127" t="str">
            <v>$/doe return ==&gt;</v>
          </cell>
          <cell r="G127" t="e">
            <v>#REF!</v>
          </cell>
          <cell r="H127" t="str">
            <v>VarKids</v>
          </cell>
        </row>
        <row r="128">
          <cell r="B128" t="str">
            <v>Coefficient of variation                ==&gt;</v>
          </cell>
          <cell r="G128">
            <v>0.3045425382754077</v>
          </cell>
          <cell r="H128" t="str">
            <v>StdHlMilk</v>
          </cell>
        </row>
        <row r="129">
          <cell r="H129" t="str">
            <v>StdPrMilk</v>
          </cell>
        </row>
        <row r="130">
          <cell r="C130" t="str">
            <v>Returns $/Doe</v>
          </cell>
          <cell r="E130" t="str">
            <v>Chances of at least</v>
          </cell>
          <cell r="H130" t="str">
            <v>VarMilk</v>
          </cell>
          <cell r="I130">
            <v>0.935</v>
          </cell>
        </row>
        <row r="131">
          <cell r="E131" t="str">
            <v>this return per doe</v>
          </cell>
          <cell r="H131" t="str">
            <v>VarSum</v>
          </cell>
          <cell r="I131">
            <v>10</v>
          </cell>
        </row>
        <row r="132">
          <cell r="H132" t="str">
            <v>StdSum</v>
          </cell>
          <cell r="I132">
            <v>2799.0725</v>
          </cell>
        </row>
        <row r="133">
          <cell r="C133" t="e">
            <v>#REF!</v>
          </cell>
          <cell r="E133" t="str">
            <v>       17 %</v>
          </cell>
          <cell r="H133" t="str">
            <v>z</v>
          </cell>
          <cell r="I133">
            <v>1.5</v>
          </cell>
        </row>
        <row r="134">
          <cell r="C134" t="e">
            <v>#REF!</v>
          </cell>
          <cell r="E134" t="str">
            <v>       33 %</v>
          </cell>
          <cell r="H134" t="str">
            <v>v1</v>
          </cell>
          <cell r="I134">
            <v>15</v>
          </cell>
        </row>
        <row r="135">
          <cell r="C135" t="e">
            <v>#REF!</v>
          </cell>
          <cell r="E135" t="str">
            <v>       50 %</v>
          </cell>
          <cell r="H135" t="str">
            <v>v2</v>
          </cell>
          <cell r="I135">
            <v>21782.8125</v>
          </cell>
        </row>
        <row r="136">
          <cell r="C136" t="e">
            <v>#REF!</v>
          </cell>
          <cell r="E136" t="str">
            <v>       67 %</v>
          </cell>
          <cell r="H136" t="str">
            <v>p(vx)</v>
          </cell>
          <cell r="I136">
            <v>24581.885000000002</v>
          </cell>
        </row>
        <row r="137">
          <cell r="C137" t="e">
            <v>#REF!</v>
          </cell>
          <cell r="E137" t="str">
            <v>       83 %</v>
          </cell>
          <cell r="I137">
            <v>156.78611226763678</v>
          </cell>
        </row>
        <row r="138">
          <cell r="H138" t="str">
            <v/>
          </cell>
          <cell r="I138" t="e">
            <v>#REF!</v>
          </cell>
          <cell r="J138" t="e">
            <v>#REF!</v>
          </cell>
        </row>
        <row r="139">
          <cell r="E139" t="str">
            <v>- End of Budget -</v>
          </cell>
          <cell r="I139" t="e">
            <v>#REF!</v>
          </cell>
          <cell r="J139" t="e">
            <v>#REF!</v>
          </cell>
        </row>
        <row r="140">
          <cell r="A140" t="str">
            <v>=</v>
          </cell>
          <cell r="B140" t="str">
            <v>=</v>
          </cell>
          <cell r="C140" t="str">
            <v>=</v>
          </cell>
          <cell r="D140" t="str">
            <v>=</v>
          </cell>
          <cell r="E140" t="str">
            <v>=</v>
          </cell>
          <cell r="F140" t="str">
            <v>=</v>
          </cell>
          <cell r="G140" t="str">
            <v>=</v>
          </cell>
          <cell r="H140" t="str">
            <v>=</v>
          </cell>
          <cell r="I140" t="e">
            <v>#REF!</v>
          </cell>
          <cell r="J140" t="e">
            <v>#REF!</v>
          </cell>
        </row>
        <row r="141">
          <cell r="I141" t="e">
            <v>#REF!</v>
          </cell>
          <cell r="J141" t="e">
            <v>#REF!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GOA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HEIFER"/>
    </sheetNames>
    <sheetDataSet>
      <sheetData sheetId="0">
        <row r="1">
          <cell r="A1" t="str">
            <v>Dheifer 1</v>
          </cell>
          <cell r="C1" t="str">
            <v>DAIRY HEIFER BUDGET</v>
          </cell>
          <cell r="G1" t="str">
            <v>Revised: May '98</v>
          </cell>
        </row>
        <row r="2">
          <cell r="A2">
            <v>2</v>
          </cell>
          <cell r="F2" t="str">
            <v>Profit Per Heifer:</v>
          </cell>
          <cell r="H2">
            <v>88.04531616747907</v>
          </cell>
        </row>
        <row r="3">
          <cell r="A3" t="str">
            <v>=</v>
          </cell>
          <cell r="B3" t="str">
            <v>=</v>
          </cell>
          <cell r="C3" t="str">
            <v>=</v>
          </cell>
          <cell r="D3" t="str">
            <v>=</v>
          </cell>
          <cell r="E3" t="str">
            <v>=</v>
          </cell>
          <cell r="F3" t="str">
            <v>=</v>
          </cell>
          <cell r="G3" t="str">
            <v>=</v>
          </cell>
          <cell r="H3" t="str">
            <v>=</v>
          </cell>
        </row>
        <row r="4">
          <cell r="A4" t="str">
            <v>This budget is designed to analyze an operation with continuous dairy</v>
          </cell>
        </row>
        <row r="5">
          <cell r="A5" t="str">
            <v>heifer production.  All heifer purchases must be made at the beginning</v>
          </cell>
        </row>
        <row r="6">
          <cell r="A6" t="str">
            <v>of a production stage and all heifer sales must occur at the end of a</v>
          </cell>
        </row>
        <row r="7">
          <cell r="A7" t="str">
            <v>production stage.  Heifers are not kept in the operation after the </v>
          </cell>
        </row>
        <row r="8">
          <cell r="A8" t="str">
            <v>last month of the final stage.  Stages have to be less than or equal</v>
          </cell>
        </row>
        <row r="9">
          <cell r="A9" t="str">
            <v>to 12 months.</v>
          </cell>
        </row>
        <row r="10">
          <cell r="A10" t="str">
            <v>=</v>
          </cell>
          <cell r="B10" t="str">
            <v>=</v>
          </cell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</row>
        <row r="12">
          <cell r="A12" t="str">
            <v>Expected</v>
          </cell>
          <cell r="D12" t="str">
            <v>Stage 1</v>
          </cell>
          <cell r="F12" t="str">
            <v>Stage 2</v>
          </cell>
          <cell r="H12" t="str">
            <v>Stage 3</v>
          </cell>
        </row>
        <row r="13">
          <cell r="A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</row>
        <row r="14">
          <cell r="A14" t="str">
            <v># Purchased per month</v>
          </cell>
          <cell r="D14">
            <v>0</v>
          </cell>
          <cell r="F14">
            <v>3</v>
          </cell>
          <cell r="H14">
            <v>0</v>
          </cell>
          <cell r="K14">
            <v>0</v>
          </cell>
        </row>
        <row r="15">
          <cell r="A15" t="str">
            <v>Monthly Transfer in</v>
          </cell>
          <cell r="D15">
            <v>10</v>
          </cell>
          <cell r="F15">
            <v>9.8</v>
          </cell>
          <cell r="H15">
            <v>10.0352</v>
          </cell>
          <cell r="K15">
            <v>125964.074565677</v>
          </cell>
        </row>
        <row r="16">
          <cell r="A16" t="str">
            <v>Total Entering Stage</v>
          </cell>
          <cell r="D16">
            <v>10</v>
          </cell>
          <cell r="F16">
            <v>12.8</v>
          </cell>
          <cell r="H16">
            <v>10.0352</v>
          </cell>
          <cell r="K16">
            <v>6691.448063999998</v>
          </cell>
        </row>
        <row r="17">
          <cell r="A17" t="str">
            <v>Beginning Value ($/head)</v>
          </cell>
          <cell r="D17">
            <v>125</v>
          </cell>
          <cell r="F17">
            <v>450</v>
          </cell>
          <cell r="H17">
            <v>900</v>
          </cell>
          <cell r="K17">
            <v>156910.3872</v>
          </cell>
        </row>
        <row r="18">
          <cell r="A18" t="str">
            <v>Beginning Age (months)</v>
          </cell>
          <cell r="D18">
            <v>0</v>
          </cell>
          <cell r="F18">
            <v>8</v>
          </cell>
          <cell r="H18">
            <v>17</v>
          </cell>
          <cell r="K18">
            <v>19919.58406197647</v>
          </cell>
        </row>
        <row r="19">
          <cell r="A19" t="str">
            <v>Ending Value ($/head)</v>
          </cell>
          <cell r="D19">
            <v>450</v>
          </cell>
          <cell r="F19">
            <v>900</v>
          </cell>
          <cell r="H19">
            <v>1100</v>
          </cell>
        </row>
        <row r="20">
          <cell r="A20" t="str">
            <v>Ending Age (months)</v>
          </cell>
          <cell r="D20">
            <v>7</v>
          </cell>
          <cell r="F20">
            <v>16</v>
          </cell>
          <cell r="H20">
            <v>24</v>
          </cell>
          <cell r="K20" t="str">
            <v>Tran!D3..G14</v>
          </cell>
        </row>
        <row r="21">
          <cell r="A21" t="str">
            <v>% Death Loss</v>
          </cell>
          <cell r="D21">
            <v>2</v>
          </cell>
          <cell r="F21">
            <v>2</v>
          </cell>
          <cell r="H21">
            <v>2</v>
          </cell>
          <cell r="K21" t="str">
            <v>Allo!C3..J14</v>
          </cell>
        </row>
        <row r="22">
          <cell r="A22" t="str">
            <v>% Sold at End of Stage</v>
          </cell>
          <cell r="D22">
            <v>0</v>
          </cell>
          <cell r="F22">
            <v>20</v>
          </cell>
          <cell r="H22">
            <v>100</v>
          </cell>
          <cell r="K22">
            <v>275.48159999999996</v>
          </cell>
        </row>
        <row r="23">
          <cell r="A23" t="str">
            <v># of Cattle in Stage</v>
          </cell>
          <cell r="D23">
            <v>80</v>
          </cell>
          <cell r="F23">
            <v>115.2</v>
          </cell>
          <cell r="H23">
            <v>80.2816</v>
          </cell>
          <cell r="K23">
            <v>15938.578285714282</v>
          </cell>
        </row>
        <row r="24">
          <cell r="K24">
            <v>93082.85367437641</v>
          </cell>
        </row>
        <row r="25">
          <cell r="A25" t="str">
            <v>Total # of Cattle on Farm</v>
          </cell>
          <cell r="D25">
            <v>275.48159999999996</v>
          </cell>
          <cell r="K25">
            <v>2611.172022857142</v>
          </cell>
        </row>
        <row r="26">
          <cell r="A26" t="str">
            <v>% Crop Transfers by Stage</v>
          </cell>
          <cell r="D26">
            <v>20</v>
          </cell>
          <cell r="F26">
            <v>34</v>
          </cell>
          <cell r="H26">
            <v>46</v>
          </cell>
          <cell r="K26">
            <v>761.5098514285713</v>
          </cell>
        </row>
        <row r="27">
          <cell r="K27">
            <v>375.8356114285714</v>
          </cell>
        </row>
        <row r="28">
          <cell r="A28" t="str">
            <v>Risk Ratings for all Stages</v>
          </cell>
          <cell r="K28">
            <v>66.90267428571427</v>
          </cell>
        </row>
        <row r="29">
          <cell r="A29" t="str">
            <v>2/3 chance of Death Loss  within + or -</v>
          </cell>
          <cell r="F29">
            <v>20</v>
          </cell>
          <cell r="G29" t="str">
            <v>%  of Expected</v>
          </cell>
        </row>
        <row r="30">
          <cell r="A30" t="str">
            <v>2/3 chance of Heifer Prices  within + or -</v>
          </cell>
          <cell r="F30">
            <v>5</v>
          </cell>
          <cell r="G30" t="str">
            <v>%  of Expected</v>
          </cell>
        </row>
        <row r="31">
          <cell r="A31" t="str">
            <v>2/3 chance of Sale Price  within + or -</v>
          </cell>
          <cell r="F31">
            <v>15</v>
          </cell>
          <cell r="G31" t="str">
            <v>%  of Expected</v>
          </cell>
        </row>
        <row r="32">
          <cell r="A32" t="str">
            <v>=</v>
          </cell>
          <cell r="B32" t="str">
            <v>=</v>
          </cell>
          <cell r="C32" t="str">
            <v>=</v>
          </cell>
          <cell r="D32" t="str">
            <v>=</v>
          </cell>
          <cell r="E32" t="str">
            <v>=</v>
          </cell>
          <cell r="F32" t="str">
            <v>=</v>
          </cell>
          <cell r="G32" t="str">
            <v>=</v>
          </cell>
          <cell r="H32" t="str">
            <v>=</v>
          </cell>
        </row>
        <row r="34">
          <cell r="A34" t="str">
            <v>EXPENSES</v>
          </cell>
        </row>
        <row r="35">
          <cell r="A35" t="str">
            <v>-</v>
          </cell>
        </row>
        <row r="36">
          <cell r="A36" t="str">
            <v> Variable Expenses:</v>
          </cell>
        </row>
        <row r="37">
          <cell r="D37" t="str">
            <v> |---- lbs/day/hd ----</v>
          </cell>
          <cell r="F37" t="str">
            <v>------|</v>
          </cell>
          <cell r="G37" t="str">
            <v>Avg. Feed</v>
          </cell>
        </row>
        <row r="38">
          <cell r="A38" t="str">
            <v>Purchased Feed:</v>
          </cell>
          <cell r="C38" t="str">
            <v>$/Tonne</v>
          </cell>
          <cell r="D38" t="str">
            <v>Stage 1</v>
          </cell>
          <cell r="E38" t="str">
            <v>Stage 2</v>
          </cell>
          <cell r="F38" t="str">
            <v>Stage 3</v>
          </cell>
          <cell r="G38" t="str">
            <v>lbs/Hd</v>
          </cell>
          <cell r="H38" t="str">
            <v>$/Year</v>
          </cell>
        </row>
        <row r="39"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</row>
        <row r="40">
          <cell r="A40" t="str">
            <v> Grain #1</v>
          </cell>
          <cell r="B40" t="str">
            <v>  Corn</v>
          </cell>
          <cell r="C40">
            <v>116</v>
          </cell>
          <cell r="D40">
            <v>2</v>
          </cell>
          <cell r="E40">
            <v>8</v>
          </cell>
          <cell r="F40">
            <v>19</v>
          </cell>
          <cell r="G40">
            <v>3454.08512220054</v>
          </cell>
          <cell r="H40">
            <v>50058.17684172336</v>
          </cell>
          <cell r="I40">
            <v>0</v>
          </cell>
          <cell r="J40">
            <v>38.690000000000005</v>
          </cell>
          <cell r="K40">
            <v>93044.16367437641</v>
          </cell>
        </row>
        <row r="41">
          <cell r="A41" t="str">
            <v>       #2</v>
          </cell>
          <cell r="B41" t="str">
            <v>  Barley</v>
          </cell>
          <cell r="C41">
            <v>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       #3</v>
          </cell>
          <cell r="B42" t="str">
            <v>  Suppl.</v>
          </cell>
          <cell r="C42">
            <v>275</v>
          </cell>
          <cell r="D42">
            <v>1.5</v>
          </cell>
          <cell r="E42">
            <v>1.5</v>
          </cell>
          <cell r="F42">
            <v>1.5</v>
          </cell>
          <cell r="G42">
            <v>547.5000000000001</v>
          </cell>
          <cell r="H42">
            <v>18810.52081632653</v>
          </cell>
        </row>
        <row r="43">
          <cell r="A43" t="str">
            <v> Forage#1</v>
          </cell>
          <cell r="B43" t="str">
            <v>  Silage</v>
          </cell>
          <cell r="C43">
            <v>18</v>
          </cell>
          <cell r="D43">
            <v>36</v>
          </cell>
          <cell r="E43">
            <v>33</v>
          </cell>
          <cell r="F43">
            <v>18</v>
          </cell>
          <cell r="G43">
            <v>10767.449121828828</v>
          </cell>
          <cell r="H43">
            <v>24214.15601632653</v>
          </cell>
        </row>
        <row r="44">
          <cell r="A44" t="str">
            <v>       #2</v>
          </cell>
          <cell r="B44" t="str">
            <v>  Haylage</v>
          </cell>
          <cell r="C44">
            <v>20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       #3</v>
          </cell>
          <cell r="B45" t="str">
            <v>  Hay</v>
          </cell>
          <cell r="C45">
            <v>55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  Other -</v>
          </cell>
          <cell r="B46" t="str">
            <v>  Mineral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</row>
        <row r="52">
          <cell r="A52" t="str">
            <v>Homegrown Feed: *</v>
          </cell>
        </row>
        <row r="53">
          <cell r="A53" t="str">
            <v> Crop Transfers (based on </v>
          </cell>
          <cell r="D53">
            <v>280</v>
          </cell>
          <cell r="E53" t="str">
            <v>head)</v>
          </cell>
          <cell r="G53">
            <v>0</v>
          </cell>
          <cell r="H53">
            <v>0</v>
          </cell>
        </row>
        <row r="54">
          <cell r="B54" t="str">
            <v>(from transfer table)</v>
          </cell>
        </row>
        <row r="55">
          <cell r="A55" t="str">
            <v>=</v>
          </cell>
          <cell r="B55" t="str">
            <v>=</v>
          </cell>
          <cell r="C55" t="str">
            <v>=</v>
          </cell>
          <cell r="D55" t="str">
            <v>=</v>
          </cell>
          <cell r="E55" t="str">
            <v>=</v>
          </cell>
          <cell r="F55" t="str">
            <v>=</v>
          </cell>
          <cell r="G55" t="str">
            <v>=</v>
          </cell>
          <cell r="H55" t="str">
            <v>=</v>
          </cell>
        </row>
        <row r="56">
          <cell r="D56" t="str">
            <v> |------- lbs/day/hd ----|</v>
          </cell>
          <cell r="G56" t="str">
            <v>Tot. Feed</v>
          </cell>
        </row>
        <row r="57">
          <cell r="A57" t="str">
            <v>   - or -</v>
          </cell>
          <cell r="C57" t="str">
            <v>$/Tonne</v>
          </cell>
          <cell r="D57" t="str">
            <v>Stage 1</v>
          </cell>
          <cell r="E57" t="str">
            <v>Stage 2</v>
          </cell>
          <cell r="F57" t="str">
            <v>Stage 3</v>
          </cell>
          <cell r="G57" t="str">
            <v>lbs/Hd</v>
          </cell>
          <cell r="H57" t="str">
            <v>$/Year</v>
          </cell>
        </row>
        <row r="58"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</row>
        <row r="59">
          <cell r="B59" t="str">
            <v>*** (Input ONLY if NOT using Crop Transfer table) ***</v>
          </cell>
        </row>
        <row r="60">
          <cell r="A60" t="str">
            <v> Grain #1</v>
          </cell>
          <cell r="B60" t="str">
            <v>  Corn</v>
          </cell>
          <cell r="C60">
            <v>100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       #2</v>
          </cell>
          <cell r="B61" t="str">
            <v>  Barley</v>
          </cell>
          <cell r="C61">
            <v>100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       #3</v>
          </cell>
          <cell r="B62" t="str">
            <v>  Suppl.</v>
          </cell>
          <cell r="C62">
            <v>290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 Forage#1</v>
          </cell>
          <cell r="B63" t="str">
            <v>  Silage</v>
          </cell>
          <cell r="C63">
            <v>20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       #2</v>
          </cell>
          <cell r="B64" t="str">
            <v>  Haylage</v>
          </cell>
          <cell r="C64">
            <v>20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       #3</v>
          </cell>
          <cell r="B65" t="str">
            <v>  Hay</v>
          </cell>
          <cell r="C65">
            <v>55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 t="str">
            <v>Feed Quantity</v>
          </cell>
          <cell r="D66">
            <v>39.5</v>
          </cell>
          <cell r="E66">
            <v>42.5</v>
          </cell>
          <cell r="F66">
            <v>38.5</v>
          </cell>
          <cell r="G66">
            <v>14769.034244029368</v>
          </cell>
        </row>
        <row r="68">
          <cell r="A68" t="str">
            <v>Total Feed Cost</v>
          </cell>
          <cell r="D68">
            <v>0.5862741540415495</v>
          </cell>
          <cell r="E68">
            <v>0.8774834437086093</v>
          </cell>
          <cell r="F68">
            <v>1.3338020502585504</v>
          </cell>
          <cell r="H68">
            <v>93082.85367437641</v>
          </cell>
        </row>
        <row r="70">
          <cell r="A70" t="str">
            <v>Number of Head to Base Following Variable Costs on ==&gt; **</v>
          </cell>
          <cell r="H70">
            <v>280</v>
          </cell>
        </row>
        <row r="72">
          <cell r="A72" t="str">
            <v>Variable cost (excluding feed) &amp; Fixed costs allocated to each Stage </v>
          </cell>
        </row>
        <row r="73">
          <cell r="D73" t="str">
            <v>Stage 1</v>
          </cell>
          <cell r="F73" t="str">
            <v>Stage 2</v>
          </cell>
          <cell r="H73" t="str">
            <v>Stage 3</v>
          </cell>
        </row>
        <row r="74">
          <cell r="A74" t="str">
            <v>   Percent Allocated</v>
          </cell>
          <cell r="D74">
            <v>20</v>
          </cell>
          <cell r="F74">
            <v>35</v>
          </cell>
          <cell r="H74">
            <v>45</v>
          </cell>
        </row>
        <row r="76">
          <cell r="A76" t="str">
            <v>   ** (You MUST enter here, the herd size you used to</v>
          </cell>
        </row>
        <row r="77">
          <cell r="A77" t="str">
            <v>       determine your variable costs!!)</v>
          </cell>
        </row>
        <row r="79">
          <cell r="E79" t="str">
            <v>Typical</v>
          </cell>
          <cell r="F79" t="str">
            <v>$/Year</v>
          </cell>
          <cell r="H79" t="str">
            <v>$/Year</v>
          </cell>
        </row>
        <row r="80">
          <cell r="E80" t="str">
            <v>$/Heifer</v>
          </cell>
          <cell r="F80" t="str">
            <v>280 Head</v>
          </cell>
          <cell r="G80" t="str">
            <v>$/Head</v>
          </cell>
          <cell r="H80" t="str">
            <v> 275 Head</v>
          </cell>
        </row>
        <row r="81"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</row>
        <row r="82">
          <cell r="A82" t="str">
            <v> Hired Labour</v>
          </cell>
          <cell r="E82">
            <v>0.74</v>
          </cell>
          <cell r="F82">
            <v>74</v>
          </cell>
          <cell r="G82">
            <v>0.2642857142857143</v>
          </cell>
          <cell r="H82">
            <v>72.80585142857142</v>
          </cell>
        </row>
        <row r="83">
          <cell r="A83" t="str">
            <v> Insurance on Livestock</v>
          </cell>
          <cell r="E83">
            <v>3</v>
          </cell>
          <cell r="F83">
            <v>300</v>
          </cell>
          <cell r="G83">
            <v>1.0714285714285714</v>
          </cell>
          <cell r="H83">
            <v>295.1588571428571</v>
          </cell>
        </row>
        <row r="84">
          <cell r="A84" t="str">
            <v> Vet, Medicine</v>
          </cell>
          <cell r="E84">
            <v>2.54</v>
          </cell>
          <cell r="F84">
            <v>254</v>
          </cell>
          <cell r="G84">
            <v>0.9071428571428571</v>
          </cell>
          <cell r="H84">
            <v>249.90116571428567</v>
          </cell>
        </row>
        <row r="85">
          <cell r="A85" t="str">
            <v> Breeding Fees</v>
          </cell>
          <cell r="E85">
            <v>24</v>
          </cell>
          <cell r="F85">
            <v>2400</v>
          </cell>
          <cell r="G85">
            <v>8.571428571428571</v>
          </cell>
          <cell r="H85">
            <v>2361.2708571428566</v>
          </cell>
        </row>
        <row r="86">
          <cell r="A86" t="str">
            <v> Marketing Fees</v>
          </cell>
          <cell r="E86">
            <v>2</v>
          </cell>
          <cell r="F86">
            <v>200</v>
          </cell>
          <cell r="G86">
            <v>0.7142857142857143</v>
          </cell>
          <cell r="H86">
            <v>196.7725714285714</v>
          </cell>
        </row>
        <row r="87">
          <cell r="A87" t="str">
            <v> Trucking</v>
          </cell>
          <cell r="E87">
            <v>1.82</v>
          </cell>
          <cell r="F87">
            <v>182</v>
          </cell>
          <cell r="G87">
            <v>0.65</v>
          </cell>
          <cell r="H87">
            <v>179.06303999999997</v>
          </cell>
        </row>
        <row r="88">
          <cell r="A88" t="str">
            <v> Bedding</v>
          </cell>
          <cell r="E88">
            <v>2</v>
          </cell>
          <cell r="F88">
            <v>200</v>
          </cell>
          <cell r="G88">
            <v>0.7142857142857143</v>
          </cell>
          <cell r="H88">
            <v>196.7725714285714</v>
          </cell>
        </row>
        <row r="89">
          <cell r="A89" t="str">
            <v> Custom Work</v>
          </cell>
          <cell r="E89">
            <v>0.48</v>
          </cell>
          <cell r="F89">
            <v>48</v>
          </cell>
          <cell r="G89">
            <v>0.17142857142857143</v>
          </cell>
          <cell r="H89">
            <v>47.22541714285713</v>
          </cell>
          <cell r="K89" t="str">
            <v>Wfarm!L4</v>
          </cell>
        </row>
        <row r="90">
          <cell r="A90" t="str">
            <v> Equipment Rentals</v>
          </cell>
          <cell r="E90">
            <v>0.2</v>
          </cell>
          <cell r="F90">
            <v>20</v>
          </cell>
          <cell r="G90">
            <v>0.07142857142857142</v>
          </cell>
          <cell r="H90">
            <v>19.67725714285714</v>
          </cell>
          <cell r="K90" t="str">
            <v>Wfarm!L5</v>
          </cell>
        </row>
        <row r="91">
          <cell r="A91" t="str">
            <v> Other</v>
          </cell>
          <cell r="E91">
            <v>2</v>
          </cell>
          <cell r="F91">
            <v>200</v>
          </cell>
          <cell r="G91">
            <v>0.7142857142857143</v>
          </cell>
          <cell r="H91">
            <v>196.7725714285714</v>
          </cell>
          <cell r="K91" t="str">
            <v>Wfarm!L6</v>
          </cell>
        </row>
        <row r="92">
          <cell r="A92" t="str">
            <v> Expected Cost of Heifers</v>
          </cell>
          <cell r="F92">
            <v>16200</v>
          </cell>
          <cell r="G92">
            <v>57.857142857142854</v>
          </cell>
          <cell r="H92">
            <v>15938.578285714282</v>
          </cell>
          <cell r="K92" t="str">
            <v>Wfarm!L7</v>
          </cell>
        </row>
        <row r="93">
          <cell r="K93" t="str">
            <v>Wfarm!L8</v>
          </cell>
        </row>
        <row r="95">
          <cell r="I95">
            <v>8045.6064</v>
          </cell>
        </row>
        <row r="96">
          <cell r="I96">
            <v>2957.721197586321</v>
          </cell>
          <cell r="K96" t="str">
            <v>Wfarm!L9</v>
          </cell>
        </row>
        <row r="101">
          <cell r="D101" t="str">
            <v>Typical</v>
          </cell>
          <cell r="E101" t="str">
            <v> Enterprise</v>
          </cell>
          <cell r="G101" t="str">
            <v> $/Heifer</v>
          </cell>
          <cell r="H101" t="str">
            <v>$/Year</v>
          </cell>
        </row>
        <row r="102">
          <cell r="D102" t="str">
            <v> $/Heifer</v>
          </cell>
          <cell r="E102" t="str">
            <v> $ Allocated</v>
          </cell>
          <cell r="G102" t="str">
            <v>Purchased</v>
          </cell>
          <cell r="H102" t="str">
            <v> 275 Head</v>
          </cell>
        </row>
        <row r="103">
          <cell r="D103" t="str">
            <v>-</v>
          </cell>
          <cell r="E103" t="str">
            <v>-</v>
          </cell>
          <cell r="F103" t="str">
            <v>---</v>
          </cell>
          <cell r="G103" t="str">
            <v>-</v>
          </cell>
          <cell r="H103" t="str">
            <v>-</v>
          </cell>
        </row>
        <row r="104">
          <cell r="A104" t="str">
            <v> Fuel</v>
          </cell>
          <cell r="D104">
            <v>0.44</v>
          </cell>
          <cell r="E104">
            <v>0</v>
          </cell>
          <cell r="G104">
            <v>0.44</v>
          </cell>
          <cell r="H104">
            <v>121.21190399999998</v>
          </cell>
        </row>
        <row r="105">
          <cell r="A105" t="str">
            <v> Mach. Repair &amp; Maint.</v>
          </cell>
          <cell r="D105">
            <v>2.91</v>
          </cell>
          <cell r="E105">
            <v>0</v>
          </cell>
          <cell r="G105">
            <v>2.91</v>
          </cell>
          <cell r="H105">
            <v>801.6514559999999</v>
          </cell>
          <cell r="K105" t="str">
            <v>Wfarm!K4</v>
          </cell>
        </row>
        <row r="106">
          <cell r="A106" t="str">
            <v> Bldg. Repair &amp; Maint.</v>
          </cell>
          <cell r="D106">
            <v>1.17</v>
          </cell>
          <cell r="E106">
            <v>0</v>
          </cell>
          <cell r="G106">
            <v>1.17</v>
          </cell>
          <cell r="H106">
            <v>322.31347199999993</v>
          </cell>
          <cell r="K106" t="str">
            <v>Wfarm!K5</v>
          </cell>
        </row>
        <row r="107">
          <cell r="A107" t="str">
            <v> Rent and Labour</v>
          </cell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K107" t="str">
            <v>Wfarm!K6</v>
          </cell>
        </row>
        <row r="108">
          <cell r="A108" t="str">
            <v> General Variable Costs</v>
          </cell>
          <cell r="D108">
            <v>2.01</v>
          </cell>
          <cell r="E108">
            <v>0</v>
          </cell>
          <cell r="G108">
            <v>2.01</v>
          </cell>
          <cell r="H108">
            <v>553.7180159999998</v>
          </cell>
          <cell r="K108" t="str">
            <v>Wfarm!K7</v>
          </cell>
        </row>
        <row r="109">
          <cell r="A109" t="str">
            <v> Interest on </v>
          </cell>
          <cell r="D109" t="str">
            <v>% int</v>
          </cell>
        </row>
        <row r="110">
          <cell r="A110" t="str">
            <v> Operating Capital</v>
          </cell>
          <cell r="D110">
            <v>6</v>
          </cell>
          <cell r="E110">
            <v>0</v>
          </cell>
          <cell r="G110">
            <v>39.942150755572506</v>
          </cell>
          <cell r="H110">
            <v>11003.327597586322</v>
          </cell>
          <cell r="I110">
            <v>0</v>
          </cell>
        </row>
        <row r="111">
          <cell r="A111" t="str">
            <v>Total Variable Costs</v>
          </cell>
          <cell r="G111">
            <v>457.2504100661424</v>
          </cell>
          <cell r="H111">
            <v>125964.074565677</v>
          </cell>
          <cell r="I111">
            <v>27095.04</v>
          </cell>
        </row>
        <row r="112">
          <cell r="I112">
            <v>129815.34719999999</v>
          </cell>
        </row>
        <row r="113">
          <cell r="D113" t="str">
            <v>Typical</v>
          </cell>
          <cell r="E113" t="str">
            <v> Enterprise</v>
          </cell>
          <cell r="G113" t="str">
            <v> $/Heifer</v>
          </cell>
          <cell r="H113" t="str">
            <v>$/Year</v>
          </cell>
        </row>
        <row r="114">
          <cell r="A114" t="str">
            <v>Fixed Costs:</v>
          </cell>
          <cell r="D114" t="str">
            <v> $/Heifer</v>
          </cell>
          <cell r="E114" t="str">
            <v> $ Allocated</v>
          </cell>
          <cell r="G114" t="str">
            <v>Purchased</v>
          </cell>
          <cell r="H114" t="str">
            <v> 275 Head</v>
          </cell>
        </row>
        <row r="115">
          <cell r="D115" t="str">
            <v>-</v>
          </cell>
          <cell r="E115" t="str">
            <v>-</v>
          </cell>
          <cell r="F115" t="str">
            <v>---</v>
          </cell>
          <cell r="G115" t="str">
            <v>-</v>
          </cell>
          <cell r="H115" t="str">
            <v>-</v>
          </cell>
        </row>
        <row r="116">
          <cell r="A116" t="str">
            <v> Depreciation</v>
          </cell>
          <cell r="D116">
            <v>12.52</v>
          </cell>
          <cell r="E116">
            <v>0</v>
          </cell>
          <cell r="G116">
            <v>12.52</v>
          </cell>
          <cell r="H116">
            <v>3449.0296319999993</v>
          </cell>
        </row>
        <row r="117">
          <cell r="A117" t="str">
            <v> Interest on Term Loans</v>
          </cell>
          <cell r="D117">
            <v>3.57</v>
          </cell>
          <cell r="E117">
            <v>0</v>
          </cell>
          <cell r="G117">
            <v>3.57</v>
          </cell>
          <cell r="H117">
            <v>983.4693119999998</v>
          </cell>
        </row>
        <row r="118">
          <cell r="A118" t="str">
            <v> Long-term Leases</v>
          </cell>
          <cell r="D118">
            <v>0</v>
          </cell>
          <cell r="E118">
            <v>0</v>
          </cell>
          <cell r="G118">
            <v>0</v>
          </cell>
          <cell r="H118">
            <v>0</v>
          </cell>
        </row>
        <row r="119">
          <cell r="A119" t="str">
            <v> General Fixed Costs</v>
          </cell>
          <cell r="D119">
            <v>8.2</v>
          </cell>
          <cell r="E119">
            <v>0</v>
          </cell>
          <cell r="G119">
            <v>8.2</v>
          </cell>
          <cell r="H119">
            <v>2258.9491199999993</v>
          </cell>
        </row>
        <row r="120">
          <cell r="A120" t="str">
            <v>Total Fixed Costs</v>
          </cell>
          <cell r="G120">
            <v>24.29</v>
          </cell>
          <cell r="H120">
            <v>6691.448063999998</v>
          </cell>
          <cell r="I120">
            <v>0</v>
          </cell>
        </row>
        <row r="121">
          <cell r="I121">
            <v>30.1056</v>
          </cell>
        </row>
        <row r="122">
          <cell r="A122" t="str">
            <v>Revenues:</v>
          </cell>
          <cell r="E122" t="str">
            <v>$/Heifer</v>
          </cell>
          <cell r="F122" t="str">
            <v>$/Year</v>
          </cell>
          <cell r="I122">
            <v>118.01395199999999</v>
          </cell>
        </row>
        <row r="123">
          <cell r="E123" t="str">
            <v>-</v>
          </cell>
          <cell r="F123" t="str">
            <v>-</v>
          </cell>
        </row>
        <row r="124">
          <cell r="A124" t="str">
            <v>Total Expected Revenues</v>
          </cell>
          <cell r="E124">
            <v>569.5857262336215</v>
          </cell>
          <cell r="F124">
            <v>156910.3872</v>
          </cell>
          <cell r="I124">
            <v>0</v>
          </cell>
          <cell r="J124" t="str">
            <v>sumother</v>
          </cell>
          <cell r="K124">
            <v>13445.66875415775</v>
          </cell>
        </row>
        <row r="125">
          <cell r="A125" t="str">
            <v>    less: Variable Costs</v>
          </cell>
          <cell r="E125">
            <v>457.2504100661424</v>
          </cell>
          <cell r="F125">
            <v>125964.074565677</v>
          </cell>
          <cell r="I125">
            <v>27095.04</v>
          </cell>
          <cell r="J125" t="str">
            <v>vcost1</v>
          </cell>
          <cell r="K125">
            <v>19076.353499402976</v>
          </cell>
        </row>
        <row r="126">
          <cell r="A126" t="str">
            <v>Expected Operating Margin</v>
          </cell>
          <cell r="E126">
            <v>112.33531616747906</v>
          </cell>
          <cell r="F126">
            <v>30946.312634322996</v>
          </cell>
          <cell r="I126">
            <v>129815.34719999999</v>
          </cell>
          <cell r="J126" t="str">
            <v>vcost2</v>
          </cell>
          <cell r="K126">
            <v>4744.674063955212</v>
          </cell>
        </row>
        <row r="127">
          <cell r="A127" t="str">
            <v>    less: Fixed Costs</v>
          </cell>
          <cell r="E127">
            <v>24.29</v>
          </cell>
          <cell r="F127">
            <v>6691.448063999998</v>
          </cell>
          <cell r="I127">
            <v>410176.91980431357</v>
          </cell>
          <cell r="J127" t="str">
            <v>vcost3</v>
          </cell>
          <cell r="K127">
            <v>99094.7146137474</v>
          </cell>
        </row>
        <row r="128">
          <cell r="A128" t="str">
            <v>Expected Net Revenue</v>
          </cell>
          <cell r="E128">
            <v>88.04531616747907</v>
          </cell>
          <cell r="F128">
            <v>24254.864570323</v>
          </cell>
          <cell r="I128">
            <v>410176.91980431357</v>
          </cell>
        </row>
        <row r="129">
          <cell r="I129">
            <v>280750.09360527364</v>
          </cell>
        </row>
        <row r="130">
          <cell r="A130" t="str">
            <v>Break-even dollars/head</v>
          </cell>
          <cell r="D130" t="str">
            <v>Needed to Cover:</v>
          </cell>
          <cell r="F130" t="str">
            <v>Variable Costs</v>
          </cell>
          <cell r="G130" t="str">
            <v>Total</v>
          </cell>
          <cell r="I130">
            <v>0.140625</v>
          </cell>
        </row>
        <row r="131">
          <cell r="F131" t="str">
            <v>Costs</v>
          </cell>
          <cell r="G131" t="str">
            <v>Costs</v>
          </cell>
          <cell r="I131">
            <v>395688725.12830824</v>
          </cell>
        </row>
        <row r="132">
          <cell r="F132" t="str">
            <v>-</v>
          </cell>
          <cell r="G132" t="str">
            <v>-</v>
          </cell>
        </row>
        <row r="133">
          <cell r="D133" t="str">
            <v>     Stage 1</v>
          </cell>
          <cell r="F133">
            <v>156.950958719154</v>
          </cell>
          <cell r="G133">
            <v>205.74276751915397</v>
          </cell>
          <cell r="I133">
            <v>19919.58406197647</v>
          </cell>
          <cell r="J133" t="str">
            <v>$/Hd</v>
          </cell>
          <cell r="K133">
            <v>673.7462380645278</v>
          </cell>
        </row>
        <row r="134">
          <cell r="D134" t="str">
            <v>     Stage 2</v>
          </cell>
          <cell r="F134">
            <v>501.3638394306146</v>
          </cell>
          <cell r="G134">
            <v>540.0874972083924</v>
          </cell>
          <cell r="I134">
            <v>553.3217794993465</v>
          </cell>
          <cell r="J134" t="str">
            <v>BEcatpur</v>
          </cell>
        </row>
        <row r="135">
          <cell r="D135" t="str">
            <v>     Stage 3</v>
          </cell>
          <cell r="F135">
            <v>984.4231217175831</v>
          </cell>
          <cell r="G135">
            <v>1033.043785780083</v>
          </cell>
        </row>
        <row r="136">
          <cell r="A136" t="str">
            <v>=</v>
          </cell>
          <cell r="B136" t="str">
            <v>=</v>
          </cell>
          <cell r="C136" t="str">
            <v>=</v>
          </cell>
          <cell r="D136" t="str">
            <v>=</v>
          </cell>
          <cell r="E136" t="str">
            <v>=</v>
          </cell>
          <cell r="F136" t="str">
            <v>=</v>
          </cell>
          <cell r="G136" t="str">
            <v>=</v>
          </cell>
          <cell r="H136" t="str">
            <v>=</v>
          </cell>
          <cell r="J136" t="str">
            <v> +profit</v>
          </cell>
          <cell r="K136" t="str">
            <v> ¬ price</v>
          </cell>
        </row>
        <row r="137">
          <cell r="B137" t="str">
            <v>Chance of at least breaking even       ==&gt;</v>
          </cell>
          <cell r="G137">
            <v>0.8883193635552</v>
          </cell>
        </row>
        <row r="138">
          <cell r="B138" t="str">
            <v>Chance of at least</v>
          </cell>
          <cell r="D138">
            <v>110</v>
          </cell>
          <cell r="E138" t="str">
            <v>$/hd return ==&gt;</v>
          </cell>
          <cell r="G138">
            <v>0.8458604676078734</v>
          </cell>
          <cell r="I138">
            <v>1.2176391080686235</v>
          </cell>
          <cell r="J138">
            <v>1.0188397763316195</v>
          </cell>
          <cell r="K138">
            <v>1.2176391080686235</v>
          </cell>
        </row>
        <row r="139">
          <cell r="B139" t="str">
            <v>Coefficient of variation               ==&gt;</v>
          </cell>
          <cell r="G139">
            <v>0.9714460071852219</v>
          </cell>
          <cell r="I139">
            <v>0.7799969857205943</v>
          </cell>
          <cell r="J139">
            <v>0.8090575732632121</v>
          </cell>
          <cell r="K139">
            <v>0.7799969857205943</v>
          </cell>
        </row>
        <row r="140">
          <cell r="I140">
            <v>0.19008935451451905</v>
          </cell>
          <cell r="J140">
            <v>0.23741258732550044</v>
          </cell>
          <cell r="K140">
            <v>0.19008935451451905</v>
          </cell>
        </row>
        <row r="141">
          <cell r="C141" t="str">
            <v>Returns: $ per</v>
          </cell>
          <cell r="E141" t="str">
            <v>Chances of at least</v>
          </cell>
          <cell r="I141">
            <v>0.11168063644479999</v>
          </cell>
          <cell r="J141">
            <v>0.15413953239212663</v>
          </cell>
          <cell r="K141">
            <v>0.11168063644479999</v>
          </cell>
        </row>
        <row r="142">
          <cell r="C142" t="str">
            <v>heifer purchased</v>
          </cell>
          <cell r="E142" t="str">
            <v>this return per head</v>
          </cell>
        </row>
        <row r="144">
          <cell r="C144">
            <v>1210.4683641788938</v>
          </cell>
          <cell r="E144" t="str">
            <v>       17 %</v>
          </cell>
        </row>
        <row r="145">
          <cell r="C145">
            <v>911.6746032492467</v>
          </cell>
          <cell r="E145" t="str">
            <v>       33 %</v>
          </cell>
        </row>
        <row r="146">
          <cell r="C146">
            <v>673.7462380645278</v>
          </cell>
          <cell r="E146" t="str">
            <v>       50 %</v>
          </cell>
        </row>
        <row r="147">
          <cell r="C147">
            <v>435.8178728798088</v>
          </cell>
          <cell r="E147" t="str">
            <v>       67 %</v>
          </cell>
        </row>
        <row r="148">
          <cell r="C148">
            <v>137.0241119501618</v>
          </cell>
          <cell r="E148" t="str">
            <v>       83 %</v>
          </cell>
        </row>
        <row r="149">
          <cell r="D149" t="str">
            <v>- End of Budget 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irk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N"/>
    </sheetNames>
    <sheetDataSet>
      <sheetData sheetId="0">
        <row r="1">
          <cell r="A1" t="str">
            <v>Corn 1</v>
          </cell>
          <cell r="C1" t="str">
            <v>GRAIN CORN ENTERPRISE BUDGET</v>
          </cell>
          <cell r="G1" t="str">
            <v>Revised: May '98</v>
          </cell>
        </row>
        <row r="2">
          <cell r="A2">
            <v>502</v>
          </cell>
          <cell r="F2" t="str">
            <v>Profit Per Acre</v>
          </cell>
          <cell r="H2">
            <v>118.68321594062348</v>
          </cell>
        </row>
        <row r="3">
          <cell r="B3" t="str">
            <v>Number of Acres =</v>
          </cell>
          <cell r="D3">
            <v>1</v>
          </cell>
          <cell r="F3" t="str">
            <v>    1 t =</v>
          </cell>
          <cell r="G3">
            <v>39.368</v>
          </cell>
          <cell r="H3" t="str">
            <v>bu</v>
          </cell>
        </row>
        <row r="5">
          <cell r="A5" t="str">
            <v>=</v>
          </cell>
          <cell r="B5" t="str">
            <v>=</v>
          </cell>
          <cell r="C5" t="str">
            <v>=</v>
          </cell>
          <cell r="D5" t="str">
            <v>=</v>
          </cell>
          <cell r="E5" t="str">
            <v>=</v>
          </cell>
          <cell r="F5" t="str">
            <v>=</v>
          </cell>
          <cell r="G5" t="str">
            <v>=</v>
          </cell>
          <cell r="H5" t="str">
            <v>=</v>
          </cell>
        </row>
        <row r="6">
          <cell r="C6" t="str">
            <v>  Optimistic</v>
          </cell>
          <cell r="E6" t="str">
            <v>  Expected</v>
          </cell>
          <cell r="G6" t="str">
            <v> Pessimistic</v>
          </cell>
        </row>
        <row r="7">
          <cell r="A7" t="str">
            <v>Yield - bu/ac</v>
          </cell>
          <cell r="C7">
            <v>150</v>
          </cell>
          <cell r="E7">
            <v>130</v>
          </cell>
          <cell r="G7">
            <v>90</v>
          </cell>
        </row>
        <row r="8">
          <cell r="A8" t="str">
            <v>Price - $/bu</v>
          </cell>
          <cell r="C8">
            <v>4.22</v>
          </cell>
          <cell r="E8">
            <v>3.44</v>
          </cell>
          <cell r="G8">
            <v>2.67</v>
          </cell>
        </row>
        <row r="9">
          <cell r="A9" t="str">
            <v>Production - bu</v>
          </cell>
          <cell r="C9">
            <v>150</v>
          </cell>
          <cell r="E9">
            <v>130</v>
          </cell>
          <cell r="G9">
            <v>90</v>
          </cell>
        </row>
        <row r="10">
          <cell r="A10" t="str">
            <v>=</v>
          </cell>
          <cell r="B10" t="str">
            <v>=</v>
          </cell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</row>
        <row r="11">
          <cell r="D11" t="str">
            <v>Insurance Evaluation</v>
          </cell>
        </row>
        <row r="12">
          <cell r="A12" t="str">
            <v>Market Revenue Ins.</v>
          </cell>
          <cell r="E12" t="str">
            <v>  Crop Insurance</v>
          </cell>
        </row>
        <row r="13">
          <cell r="A13" t="str">
            <v> Premium/ac:</v>
          </cell>
          <cell r="D13">
            <v>13.349808004532308</v>
          </cell>
          <cell r="E13" t="str">
            <v>   C.I. Premium/ac:</v>
          </cell>
          <cell r="H13">
            <v>13.05</v>
          </cell>
          <cell r="K13">
            <v>40.453963650097904</v>
          </cell>
        </row>
        <row r="14">
          <cell r="A14" t="str">
            <v> Guaranteed Price/bu</v>
          </cell>
          <cell r="D14">
            <v>3.444</v>
          </cell>
          <cell r="E14" t="str">
            <v>   Level of Coverage</v>
          </cell>
          <cell r="H14">
            <v>0.85</v>
          </cell>
          <cell r="K14">
            <v>56.488294452697446</v>
          </cell>
        </row>
        <row r="15">
          <cell r="A15" t="str">
            <v> Probability of a payout</v>
          </cell>
          <cell r="D15">
            <v>0.5020466363275756</v>
          </cell>
          <cell r="E15" t="str">
            <v>   Guaranteed Yield/ac.</v>
          </cell>
          <cell r="H15">
            <v>110.5</v>
          </cell>
          <cell r="K15">
            <v>333.50507851207396</v>
          </cell>
        </row>
        <row r="16">
          <cell r="A16" t="str">
            <v> Expected Payout/ac</v>
          </cell>
          <cell r="D16">
            <v>40.453963650097904</v>
          </cell>
          <cell r="E16" t="str">
            <v>   Probability of a payout</v>
          </cell>
          <cell r="H16">
            <v>0.2578475956340074</v>
          </cell>
          <cell r="K16">
            <v>51.5</v>
          </cell>
        </row>
        <row r="17">
          <cell r="D17">
            <v>0.5020466363275756</v>
          </cell>
          <cell r="E17" t="str">
            <v>   Expected Payout/ac</v>
          </cell>
          <cell r="H17">
            <v>16.034330802599538</v>
          </cell>
          <cell r="K17">
            <v>447.2</v>
          </cell>
        </row>
        <row r="18">
          <cell r="H18">
            <v>0.2578475956340074</v>
          </cell>
          <cell r="K18">
            <v>169.2198943451123</v>
          </cell>
        </row>
        <row r="19">
          <cell r="A19" t="str">
            <v>Participate in MRIP? (y/n)</v>
          </cell>
          <cell r="D19" t="str">
            <v>Yes</v>
          </cell>
          <cell r="E19" t="str">
            <v>  Participate in CI? (y/n)</v>
          </cell>
          <cell r="H19" t="str">
            <v>Yes</v>
          </cell>
          <cell r="K19">
            <v>3.3021743548059335</v>
          </cell>
        </row>
        <row r="20">
          <cell r="A20" t="str">
            <v>=</v>
          </cell>
          <cell r="B20" t="str">
            <v>=</v>
          </cell>
          <cell r="C20" t="str">
            <v>=</v>
          </cell>
          <cell r="D20" t="str">
            <v>=</v>
          </cell>
          <cell r="E20" t="str">
            <v>=</v>
          </cell>
          <cell r="F20" t="str">
            <v>=</v>
          </cell>
          <cell r="G20" t="str">
            <v>=</v>
          </cell>
          <cell r="H20" t="str">
            <v>=</v>
          </cell>
          <cell r="K20">
            <v>135.42592000000002</v>
          </cell>
        </row>
        <row r="21">
          <cell r="D21" t="str">
            <v>Unit/Ac</v>
          </cell>
          <cell r="E21" t="str">
            <v>Number</v>
          </cell>
          <cell r="F21" t="str">
            <v>Cost/Unit</v>
          </cell>
          <cell r="G21" t="str">
            <v>$/Acre</v>
          </cell>
          <cell r="H21" t="str">
            <v>$/Year</v>
          </cell>
          <cell r="K21" t="str">
            <v>Allo!C3..J14</v>
          </cell>
        </row>
        <row r="22">
          <cell r="A22" t="str">
            <v>Expenses</v>
          </cell>
          <cell r="D22" t="str">
            <v>-------</v>
          </cell>
          <cell r="E22" t="str">
            <v>  ------</v>
          </cell>
          <cell r="F22" t="str">
            <v>---------</v>
          </cell>
          <cell r="G22" t="str">
            <v>  ------</v>
          </cell>
          <cell r="H22" t="str">
            <v>  ------</v>
          </cell>
          <cell r="K22">
            <v>1</v>
          </cell>
        </row>
        <row r="23">
          <cell r="A23" t="str">
            <v>Variable Costs:</v>
          </cell>
          <cell r="K23">
            <v>47.1</v>
          </cell>
        </row>
        <row r="24">
          <cell r="A24" t="str">
            <v> Seed </v>
          </cell>
          <cell r="D24" t="str">
            <v>M-kernel</v>
          </cell>
          <cell r="E24">
            <v>30</v>
          </cell>
          <cell r="F24">
            <v>1.57</v>
          </cell>
          <cell r="G24">
            <v>47.1</v>
          </cell>
          <cell r="H24">
            <v>47.1</v>
          </cell>
          <cell r="K24">
            <v>65.674</v>
          </cell>
        </row>
        <row r="25">
          <cell r="A25" t="str">
            <v> Seed Treatment</v>
          </cell>
          <cell r="D25" t="str">
            <v>gm</v>
          </cell>
          <cell r="E25">
            <v>2.75</v>
          </cell>
          <cell r="F25">
            <v>0.55</v>
          </cell>
          <cell r="G25">
            <v>1.5125000000000002</v>
          </cell>
          <cell r="H25">
            <v>1.5125000000000002</v>
          </cell>
          <cell r="K25">
            <v>45.0325</v>
          </cell>
        </row>
        <row r="26">
          <cell r="A26" t="str">
            <v> Fertilizer   #1</v>
          </cell>
          <cell r="C26" t="str">
            <v>11-52-0</v>
          </cell>
          <cell r="D26" t="str">
            <v>kg</v>
          </cell>
          <cell r="E26">
            <v>28</v>
          </cell>
          <cell r="F26">
            <v>0.448</v>
          </cell>
          <cell r="G26">
            <v>12.544</v>
          </cell>
          <cell r="H26">
            <v>12.544</v>
          </cell>
          <cell r="K26">
            <v>90.40915569809052</v>
          </cell>
        </row>
        <row r="27">
          <cell r="A27" t="str">
            <v>              #2</v>
          </cell>
          <cell r="C27" t="str">
            <v>0-0-60</v>
          </cell>
          <cell r="D27" t="str">
            <v>kg</v>
          </cell>
          <cell r="E27">
            <v>32</v>
          </cell>
          <cell r="F27">
            <v>0.24</v>
          </cell>
          <cell r="G27">
            <v>7.68</v>
          </cell>
          <cell r="H27">
            <v>7.68</v>
          </cell>
          <cell r="K27">
            <v>1.3208697419223734</v>
          </cell>
        </row>
        <row r="28">
          <cell r="A28" t="str">
            <v>              #3</v>
          </cell>
          <cell r="C28" t="str">
            <v>28-0-0</v>
          </cell>
          <cell r="D28" t="str">
            <v>kg</v>
          </cell>
          <cell r="E28">
            <v>202</v>
          </cell>
          <cell r="F28">
            <v>0.225</v>
          </cell>
          <cell r="G28">
            <v>45.45</v>
          </cell>
          <cell r="H28">
            <v>45.45</v>
          </cell>
          <cell r="K28">
            <v>0</v>
          </cell>
        </row>
        <row r="30">
          <cell r="D30" t="str">
            <v>Unit/Acre</v>
          </cell>
          <cell r="E30" t="str">
            <v>Number</v>
          </cell>
          <cell r="F30" t="str">
            <v>Cost/Unit</v>
          </cell>
          <cell r="G30" t="str">
            <v>$/Acre</v>
          </cell>
          <cell r="H30" t="str">
            <v>$/Year</v>
          </cell>
          <cell r="J30" t="str">
            <v>Grip prob factor (component of grip)</v>
          </cell>
          <cell r="K30">
            <v>0.9982829935483871</v>
          </cell>
        </row>
        <row r="31">
          <cell r="A31" t="str">
            <v> Herbicide </v>
          </cell>
          <cell r="D31" t="str">
            <v>-------</v>
          </cell>
          <cell r="E31" t="str">
            <v>  ------</v>
          </cell>
          <cell r="F31" t="str">
            <v>---------</v>
          </cell>
          <cell r="G31" t="str">
            <v>  ------</v>
          </cell>
          <cell r="H31" t="str">
            <v>  ------</v>
          </cell>
        </row>
        <row r="32">
          <cell r="A32" t="str">
            <v>   Annual Grasses</v>
          </cell>
          <cell r="D32" t="str">
            <v>kg or l</v>
          </cell>
          <cell r="E32">
            <v>1</v>
          </cell>
          <cell r="F32">
            <v>20</v>
          </cell>
          <cell r="G32">
            <v>20</v>
          </cell>
          <cell r="H32">
            <v>20</v>
          </cell>
          <cell r="J32" t="str">
            <v>C.I. prob factor (component of Crop Insurance)</v>
          </cell>
          <cell r="K32">
            <v>1.2162355</v>
          </cell>
        </row>
        <row r="33">
          <cell r="A33" t="str">
            <v>   Broadleaf Herbicides</v>
          </cell>
          <cell r="D33" t="str">
            <v>kg or l</v>
          </cell>
          <cell r="E33">
            <v>0.3</v>
          </cell>
          <cell r="F33">
            <v>28</v>
          </cell>
          <cell r="G33">
            <v>8.4</v>
          </cell>
          <cell r="H33">
            <v>8.4</v>
          </cell>
          <cell r="K33">
            <v>13.05</v>
          </cell>
        </row>
        <row r="34">
          <cell r="A34" t="str">
            <v>   Other Herbicides</v>
          </cell>
          <cell r="D34" t="str">
            <v>kg or l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>
            <v>26.39980800453231</v>
          </cell>
        </row>
        <row r="35">
          <cell r="A35" t="str">
            <v> Insecticides</v>
          </cell>
          <cell r="D35" t="str">
            <v>kg or l</v>
          </cell>
          <cell r="E35">
            <v>2.8</v>
          </cell>
          <cell r="F35">
            <v>5.4</v>
          </cell>
          <cell r="G35">
            <v>15.12</v>
          </cell>
          <cell r="H35">
            <v>15.12</v>
          </cell>
        </row>
        <row r="36">
          <cell r="A36" t="str">
            <v> Fungicides</v>
          </cell>
          <cell r="D36" t="str">
            <v>kg or l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 Crop Insurance</v>
          </cell>
          <cell r="D37" t="str">
            <v>Insurance</v>
          </cell>
          <cell r="E37">
            <v>1</v>
          </cell>
          <cell r="F37">
            <v>13.05</v>
          </cell>
          <cell r="G37">
            <v>13.05</v>
          </cell>
          <cell r="H37">
            <v>13.05</v>
          </cell>
        </row>
        <row r="38">
          <cell r="A38" t="str">
            <v> Market Revenue Insurance</v>
          </cell>
          <cell r="D38" t="str">
            <v>Insurance</v>
          </cell>
          <cell r="E38">
            <v>1</v>
          </cell>
          <cell r="F38">
            <v>13.349808004532308</v>
          </cell>
          <cell r="G38">
            <v>13.349808004532308</v>
          </cell>
          <cell r="H38">
            <v>13.349808004532308</v>
          </cell>
        </row>
        <row r="39">
          <cell r="A39" t="str">
            <v> Custom Work  #1</v>
          </cell>
          <cell r="C39" t="str">
            <v>     Combine</v>
          </cell>
          <cell r="E39">
            <v>0</v>
          </cell>
          <cell r="F39">
            <v>31</v>
          </cell>
          <cell r="G39">
            <v>0</v>
          </cell>
          <cell r="H39">
            <v>0</v>
          </cell>
        </row>
        <row r="40">
          <cell r="A40" t="str">
            <v>              #2</v>
          </cell>
          <cell r="C40" t="str">
            <v>     Nitr. Applic.</v>
          </cell>
          <cell r="E40">
            <v>0</v>
          </cell>
          <cell r="F40">
            <v>8</v>
          </cell>
          <cell r="G40">
            <v>0</v>
          </cell>
          <cell r="H40">
            <v>0</v>
          </cell>
        </row>
        <row r="41">
          <cell r="A41" t="str">
            <v> Drying 8 Points</v>
          </cell>
          <cell r="D41" t="str">
            <v>tonnes</v>
          </cell>
          <cell r="E41">
            <v>3.632391790286527</v>
          </cell>
          <cell r="F41">
            <v>11.84</v>
          </cell>
          <cell r="G41">
            <v>43.00751879699248</v>
          </cell>
          <cell r="H41">
            <v>43.00751879699248</v>
          </cell>
        </row>
        <row r="42">
          <cell r="A42" t="str">
            <v> Storage</v>
          </cell>
          <cell r="D42" t="str">
            <v>tonnes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 Trucking</v>
          </cell>
          <cell r="D43" t="str">
            <v>tonnes</v>
          </cell>
          <cell r="E43">
            <v>3.3021743548059335</v>
          </cell>
          <cell r="F43">
            <v>6.36</v>
          </cell>
          <cell r="G43">
            <v>21.001828896565737</v>
          </cell>
          <cell r="H43">
            <v>21.001828896565737</v>
          </cell>
        </row>
        <row r="44">
          <cell r="A44" t="str">
            <v> Marketing Fees</v>
          </cell>
          <cell r="D44" t="str">
            <v>tonnes</v>
          </cell>
          <cell r="E44">
            <v>3.3021743548059335</v>
          </cell>
          <cell r="F44">
            <v>0.4</v>
          </cell>
          <cell r="G44">
            <v>1.3208697419223734</v>
          </cell>
          <cell r="H44">
            <v>1.3208697419223734</v>
          </cell>
        </row>
        <row r="45">
          <cell r="A45" t="str">
            <v> Other</v>
          </cell>
          <cell r="D45" t="str">
            <v> 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9">
          <cell r="K49" t="str">
            <v>Wfarm!L4</v>
          </cell>
        </row>
        <row r="50">
          <cell r="K50" t="str">
            <v>Wfarm!L5</v>
          </cell>
        </row>
        <row r="51">
          <cell r="D51" t="str">
            <v>Typical</v>
          </cell>
          <cell r="E51" t="str">
            <v> Enterprise</v>
          </cell>
          <cell r="K51" t="str">
            <v>Wfarm!L6</v>
          </cell>
        </row>
        <row r="52">
          <cell r="D52" t="str">
            <v> $/Acre</v>
          </cell>
          <cell r="E52" t="str">
            <v> $ Allocated</v>
          </cell>
          <cell r="G52" t="str">
            <v>$/Acre</v>
          </cell>
          <cell r="H52" t="str">
            <v>$/Year</v>
          </cell>
          <cell r="K52" t="str">
            <v>Wfarm!L7</v>
          </cell>
        </row>
        <row r="53">
          <cell r="A53" t="str">
            <v> Fuel</v>
          </cell>
          <cell r="D53">
            <v>14</v>
          </cell>
          <cell r="E53">
            <v>0</v>
          </cell>
          <cell r="G53">
            <v>14</v>
          </cell>
          <cell r="H53">
            <v>14</v>
          </cell>
          <cell r="K53" t="str">
            <v>Wfarm!L8</v>
          </cell>
        </row>
        <row r="54">
          <cell r="A54" t="str">
            <v> Mach. Repair &amp; Maint.</v>
          </cell>
          <cell r="D54">
            <v>19</v>
          </cell>
          <cell r="E54">
            <v>0</v>
          </cell>
          <cell r="G54">
            <v>19</v>
          </cell>
          <cell r="H54">
            <v>19</v>
          </cell>
        </row>
        <row r="55">
          <cell r="A55" t="str">
            <v> Bldg. Repair &amp; Maint.</v>
          </cell>
          <cell r="D55">
            <v>8</v>
          </cell>
          <cell r="E55">
            <v>0</v>
          </cell>
          <cell r="G55">
            <v>8</v>
          </cell>
          <cell r="H55">
            <v>8</v>
          </cell>
        </row>
        <row r="56">
          <cell r="A56" t="str">
            <v> Rent and Labour</v>
          </cell>
          <cell r="D56">
            <v>16</v>
          </cell>
          <cell r="E56">
            <v>0</v>
          </cell>
          <cell r="G56">
            <v>16</v>
          </cell>
          <cell r="H56">
            <v>16</v>
          </cell>
        </row>
        <row r="57">
          <cell r="A57" t="str">
            <v> General Variable Costs</v>
          </cell>
          <cell r="D57">
            <v>15</v>
          </cell>
          <cell r="E57">
            <v>0</v>
          </cell>
          <cell r="G57">
            <v>15</v>
          </cell>
          <cell r="H57">
            <v>15</v>
          </cell>
          <cell r="J57">
            <v>11.968553072060994</v>
          </cell>
          <cell r="K57" t="str">
            <v>Wfarm!L9</v>
          </cell>
        </row>
        <row r="58">
          <cell r="A58" t="str">
            <v> Interest on</v>
          </cell>
          <cell r="C58" t="str">
            <v>%int</v>
          </cell>
          <cell r="D58" t="str">
            <v>%year</v>
          </cell>
        </row>
        <row r="59">
          <cell r="A59" t="str">
            <v> Operating Capital</v>
          </cell>
          <cell r="C59">
            <v>8</v>
          </cell>
          <cell r="D59">
            <v>50</v>
          </cell>
          <cell r="E59">
            <v>0</v>
          </cell>
          <cell r="G59">
            <v>11.968553072060994</v>
          </cell>
          <cell r="H59">
            <v>11.968553072060994</v>
          </cell>
        </row>
        <row r="60">
          <cell r="G60" t="str">
            <v>  ------</v>
          </cell>
          <cell r="H60" t="str">
            <v>  ------</v>
          </cell>
        </row>
        <row r="61">
          <cell r="A61" t="str">
            <v>Total Variable Costs</v>
          </cell>
          <cell r="G61">
            <v>333.50507851207396</v>
          </cell>
          <cell r="H61">
            <v>333.50507851207396</v>
          </cell>
        </row>
        <row r="63">
          <cell r="D63" t="str">
            <v>Typical</v>
          </cell>
          <cell r="E63" t="str">
            <v> Enterprise</v>
          </cell>
          <cell r="K63" t="str">
            <v>Wfarm!K4</v>
          </cell>
        </row>
        <row r="64">
          <cell r="A64" t="str">
            <v>Fixed Costs:</v>
          </cell>
          <cell r="D64" t="str">
            <v> $/Acre</v>
          </cell>
          <cell r="E64" t="str">
            <v> $ Allocated</v>
          </cell>
          <cell r="G64" t="str">
            <v>$/Acre</v>
          </cell>
          <cell r="H64" t="str">
            <v>$/Year</v>
          </cell>
          <cell r="K64" t="str">
            <v>Wfarm!K5</v>
          </cell>
        </row>
        <row r="65">
          <cell r="A65" t="str">
            <v> Depreciation</v>
          </cell>
          <cell r="D65">
            <v>29</v>
          </cell>
          <cell r="E65">
            <v>0</v>
          </cell>
          <cell r="G65">
            <v>29</v>
          </cell>
          <cell r="H65">
            <v>29</v>
          </cell>
          <cell r="K65" t="str">
            <v>Wfarm!K6</v>
          </cell>
        </row>
        <row r="66">
          <cell r="A66" t="str">
            <v> Interest on Term Loans</v>
          </cell>
          <cell r="D66">
            <v>17.5</v>
          </cell>
          <cell r="E66">
            <v>0</v>
          </cell>
          <cell r="G66">
            <v>17.5</v>
          </cell>
          <cell r="H66">
            <v>17.5</v>
          </cell>
          <cell r="K66" t="str">
            <v>Wfarm!K7</v>
          </cell>
        </row>
        <row r="67">
          <cell r="A67" t="str">
            <v> Long-term Leases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</row>
        <row r="68">
          <cell r="A68" t="str">
            <v> General Fixed Costs</v>
          </cell>
          <cell r="D68">
            <v>5</v>
          </cell>
          <cell r="E68">
            <v>0</v>
          </cell>
          <cell r="G68">
            <v>5</v>
          </cell>
          <cell r="H68">
            <v>5</v>
          </cell>
        </row>
        <row r="69">
          <cell r="G69" t="str">
            <v>  ------</v>
          </cell>
          <cell r="H69" t="str">
            <v>  ------</v>
          </cell>
        </row>
        <row r="70">
          <cell r="A70" t="str">
            <v>Total Fixed Costs</v>
          </cell>
          <cell r="G70">
            <v>51.5</v>
          </cell>
          <cell r="H70">
            <v>51.5</v>
          </cell>
        </row>
        <row r="72">
          <cell r="A72" t="str">
            <v>Revenues:</v>
          </cell>
          <cell r="E72" t="str">
            <v>$/Acre</v>
          </cell>
          <cell r="F72" t="str">
            <v>$/Year</v>
          </cell>
        </row>
        <row r="73">
          <cell r="A73" t="str">
            <v>Total Expected Revenues</v>
          </cell>
          <cell r="E73">
            <v>447.2</v>
          </cell>
          <cell r="F73">
            <v>447.2</v>
          </cell>
        </row>
        <row r="74">
          <cell r="A74" t="str">
            <v>    add: Expected Insurance Revenues</v>
          </cell>
          <cell r="E74">
            <v>56.488294452697446</v>
          </cell>
          <cell r="F74">
            <v>56.488294452697446</v>
          </cell>
        </row>
        <row r="75">
          <cell r="A75" t="str">
            <v>    less: Variable Costs</v>
          </cell>
          <cell r="E75">
            <v>333.50507851207396</v>
          </cell>
          <cell r="F75">
            <v>333.50507851207396</v>
          </cell>
        </row>
        <row r="76">
          <cell r="E76" t="str">
            <v>  ------</v>
          </cell>
          <cell r="F76" t="str">
            <v>  ------</v>
          </cell>
        </row>
        <row r="77">
          <cell r="A77" t="str">
            <v>Expected Operating Margin</v>
          </cell>
          <cell r="E77">
            <v>170.18321594062348</v>
          </cell>
          <cell r="F77">
            <v>170.18321594062348</v>
          </cell>
        </row>
        <row r="78">
          <cell r="A78" t="str">
            <v>    less: Fixed Costs</v>
          </cell>
          <cell r="E78">
            <v>51.5</v>
          </cell>
          <cell r="F78">
            <v>51.5</v>
          </cell>
        </row>
        <row r="79">
          <cell r="E79" t="str">
            <v>  ------</v>
          </cell>
          <cell r="F79" t="str">
            <v>  ------</v>
          </cell>
        </row>
        <row r="80">
          <cell r="A80" t="str">
            <v>Expected Net Revenue</v>
          </cell>
          <cell r="E80">
            <v>118.68321594062348</v>
          </cell>
          <cell r="F80">
            <v>118.68321594062348</v>
          </cell>
        </row>
        <row r="82">
          <cell r="A82" t="str">
            <v>         Break-even $/bu to cover:</v>
          </cell>
          <cell r="E82" t="str">
            <v>Variable Costs</v>
          </cell>
          <cell r="G82">
            <v>2.5654236808621076</v>
          </cell>
        </row>
        <row r="83">
          <cell r="E83" t="str">
            <v>Fixed Costs</v>
          </cell>
          <cell r="G83">
            <v>0.39615384615384613</v>
          </cell>
        </row>
        <row r="84">
          <cell r="G84" t="str">
            <v>  ------</v>
          </cell>
        </row>
        <row r="85">
          <cell r="E85" t="str">
            <v>Total Costs</v>
          </cell>
          <cell r="G85">
            <v>2.9615775270159537</v>
          </cell>
        </row>
        <row r="86">
          <cell r="A86" t="str">
            <v>=</v>
          </cell>
          <cell r="B86" t="str">
            <v>=</v>
          </cell>
          <cell r="C86" t="str">
            <v>=</v>
          </cell>
          <cell r="D86" t="str">
            <v>=</v>
          </cell>
          <cell r="E86" t="str">
            <v>=</v>
          </cell>
          <cell r="F86" t="str">
            <v>=</v>
          </cell>
          <cell r="G86" t="str">
            <v>=</v>
          </cell>
          <cell r="H86" t="str">
            <v>=</v>
          </cell>
        </row>
        <row r="87">
          <cell r="B87" t="str">
            <v>Chance of at least breaking even          ==&gt;</v>
          </cell>
          <cell r="G87">
            <v>0.7584593192605316</v>
          </cell>
        </row>
        <row r="88">
          <cell r="B88" t="str">
            <v>Chance of at least</v>
          </cell>
          <cell r="D88">
            <v>0</v>
          </cell>
          <cell r="E88" t="str">
            <v>$/acre return  ==&gt;</v>
          </cell>
          <cell r="G88">
            <v>0.7584593192605316</v>
          </cell>
          <cell r="I88">
            <v>118.68321594062348</v>
          </cell>
        </row>
        <row r="89">
          <cell r="B89" t="str">
            <v>Coefficient of variation                  ==&gt;</v>
          </cell>
          <cell r="G89">
            <v>0.3783986903960472</v>
          </cell>
          <cell r="I89">
            <v>45.173092999999994</v>
          </cell>
        </row>
        <row r="90">
          <cell r="H90" t="str">
            <v>mn</v>
          </cell>
          <cell r="I90">
            <v>0.48675626999999977</v>
          </cell>
        </row>
        <row r="91">
          <cell r="C91" t="str">
            <v>Returns $/acre</v>
          </cell>
          <cell r="E91" t="str">
            <v>Chances of at least</v>
          </cell>
          <cell r="H91" t="str">
            <v>ystd</v>
          </cell>
          <cell r="I91">
            <v>169.2198943451123</v>
          </cell>
        </row>
        <row r="92">
          <cell r="E92" t="str">
            <v>this return per acre</v>
          </cell>
          <cell r="H92" t="str">
            <v>pstd</v>
          </cell>
        </row>
        <row r="93">
          <cell r="C93">
            <v>282.8265134553824</v>
          </cell>
          <cell r="E93" t="str">
            <v>       17 %</v>
          </cell>
          <cell r="I93">
            <v>0.7013549819300635</v>
          </cell>
          <cell r="J93">
            <v>0.7013549819300635</v>
          </cell>
        </row>
        <row r="94">
          <cell r="C94">
            <v>191.44777050902178</v>
          </cell>
          <cell r="E94" t="str">
            <v>       33 %</v>
          </cell>
          <cell r="H94" t="str">
            <v>z</v>
          </cell>
          <cell r="I94">
            <v>0.8602422850835503</v>
          </cell>
          <cell r="J94">
            <v>0.8602422850835503</v>
          </cell>
        </row>
        <row r="95">
          <cell r="C95">
            <v>118.68321594062348</v>
          </cell>
          <cell r="E95" t="str">
            <v>       50 %</v>
          </cell>
          <cell r="H95" t="str">
            <v>v1</v>
          </cell>
          <cell r="I95">
            <v>0.3119576189670534</v>
          </cell>
          <cell r="J95">
            <v>0.3119576189670534</v>
          </cell>
        </row>
        <row r="96">
          <cell r="C96">
            <v>45.9186613722252</v>
          </cell>
          <cell r="E96" t="str">
            <v>       67 %</v>
          </cell>
          <cell r="H96" t="str">
            <v>v2</v>
          </cell>
          <cell r="I96">
            <v>0.24154068073946844</v>
          </cell>
          <cell r="J96">
            <v>0.24154068073946844</v>
          </cell>
        </row>
        <row r="97">
          <cell r="C97">
            <v>-45.460081574135444</v>
          </cell>
          <cell r="E97" t="str">
            <v>       83 %</v>
          </cell>
          <cell r="H97" t="str">
            <v>p(vx)</v>
          </cell>
        </row>
        <row r="98">
          <cell r="H98" t="str">
            <v/>
          </cell>
        </row>
        <row r="99">
          <cell r="E99" t="str">
            <v>- End of Budget -</v>
          </cell>
        </row>
        <row r="100">
          <cell r="A100" t="str">
            <v>=</v>
          </cell>
          <cell r="B100" t="str">
            <v>=</v>
          </cell>
          <cell r="C100" t="str">
            <v>=</v>
          </cell>
          <cell r="D100" t="str">
            <v>=</v>
          </cell>
          <cell r="E100" t="str">
            <v>=</v>
          </cell>
          <cell r="F100" t="str">
            <v>=</v>
          </cell>
          <cell r="G100" t="str">
            <v>=</v>
          </cell>
          <cell r="H100" t="str">
            <v>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ay"/>
    </sheetNames>
    <sheetDataSet>
      <sheetData sheetId="0">
        <row r="1">
          <cell r="A1" t="str">
            <v>Hay 1</v>
          </cell>
          <cell r="C1" t="str">
            <v>ALFALFA HAY ENTERPRISE BUDGET</v>
          </cell>
          <cell r="G1" t="str">
            <v>Revised: May '98</v>
          </cell>
        </row>
        <row r="2">
          <cell r="A2">
            <v>702</v>
          </cell>
          <cell r="F2" t="str">
            <v>Profit Per Acre</v>
          </cell>
          <cell r="H2">
            <v>71.71625808930952</v>
          </cell>
        </row>
        <row r="3">
          <cell r="B3" t="str">
            <v>Number of Acres =</v>
          </cell>
          <cell r="D3">
            <v>1</v>
          </cell>
        </row>
        <row r="4">
          <cell r="A4" t="str">
            <v>=</v>
          </cell>
          <cell r="B4" t="str">
            <v>=</v>
          </cell>
          <cell r="C4" t="str">
            <v>=</v>
          </cell>
          <cell r="D4" t="str">
            <v>=</v>
          </cell>
          <cell r="E4" t="str">
            <v>=</v>
          </cell>
          <cell r="F4" t="str">
            <v>=</v>
          </cell>
          <cell r="G4" t="str">
            <v>=</v>
          </cell>
          <cell r="H4" t="str">
            <v>=</v>
          </cell>
        </row>
        <row r="5">
          <cell r="C5" t="str">
            <v>  Optimistic</v>
          </cell>
          <cell r="E5" t="str">
            <v>  Expected</v>
          </cell>
          <cell r="G5" t="str">
            <v> Pessimistic</v>
          </cell>
        </row>
        <row r="6">
          <cell r="A6" t="str">
            <v>Yield - tonne/acre</v>
          </cell>
          <cell r="C6">
            <v>3.4</v>
          </cell>
          <cell r="E6">
            <v>3.1</v>
          </cell>
          <cell r="G6">
            <v>2.9</v>
          </cell>
        </row>
        <row r="7">
          <cell r="A7" t="str">
            <v>Price - $/tonne</v>
          </cell>
          <cell r="C7">
            <v>91.53</v>
          </cell>
          <cell r="E7">
            <v>75.5</v>
          </cell>
          <cell r="G7">
            <v>66.25</v>
          </cell>
        </row>
        <row r="8">
          <cell r="A8" t="str">
            <v>Production - tonne</v>
          </cell>
          <cell r="C8">
            <v>3.4</v>
          </cell>
          <cell r="E8">
            <v>3.1</v>
          </cell>
          <cell r="G8">
            <v>2.9</v>
          </cell>
        </row>
        <row r="9">
          <cell r="A9" t="str">
            <v>=</v>
          </cell>
          <cell r="B9" t="str">
            <v>=</v>
          </cell>
          <cell r="C9" t="str">
            <v>=</v>
          </cell>
          <cell r="D9" t="str">
            <v>=</v>
          </cell>
          <cell r="E9" t="str">
            <v>=</v>
          </cell>
          <cell r="F9" t="str">
            <v>=</v>
          </cell>
          <cell r="G9" t="str">
            <v>=</v>
          </cell>
          <cell r="H9" t="str">
            <v>=</v>
          </cell>
        </row>
        <row r="10">
          <cell r="A10" t="str">
            <v>  Crop Insurance</v>
          </cell>
        </row>
        <row r="11">
          <cell r="A11" t="str">
            <v>   C.I. Premium/ac:</v>
          </cell>
          <cell r="D11">
            <v>5</v>
          </cell>
        </row>
        <row r="12">
          <cell r="A12" t="str">
            <v>   Level of Coverage</v>
          </cell>
          <cell r="D12">
            <v>0.85</v>
          </cell>
        </row>
        <row r="13">
          <cell r="A13" t="str">
            <v>   Guaranteed Yield/ac.</v>
          </cell>
          <cell r="D13">
            <v>2.635</v>
          </cell>
          <cell r="K13">
            <v>0</v>
          </cell>
        </row>
        <row r="14">
          <cell r="A14" t="str">
            <v>   Probability of a payout</v>
          </cell>
          <cell r="D14">
            <v>0</v>
          </cell>
          <cell r="K14">
            <v>0</v>
          </cell>
        </row>
        <row r="15">
          <cell r="A15" t="str">
            <v>   Expected Payout/ac</v>
          </cell>
          <cell r="D15">
            <v>0</v>
          </cell>
          <cell r="K15">
            <v>117.56492436835555</v>
          </cell>
        </row>
        <row r="16">
          <cell r="D16">
            <v>0</v>
          </cell>
          <cell r="K16">
            <v>45</v>
          </cell>
        </row>
        <row r="17">
          <cell r="A17" t="str">
            <v> Participate in CI? (y/n)</v>
          </cell>
          <cell r="D17" t="str">
            <v>y</v>
          </cell>
          <cell r="K17">
            <v>234.05</v>
          </cell>
        </row>
        <row r="18">
          <cell r="A18" t="str">
            <v>=</v>
          </cell>
          <cell r="B18" t="str">
            <v>=</v>
          </cell>
          <cell r="C18" t="str">
            <v>=</v>
          </cell>
          <cell r="D18" t="str">
            <v>=</v>
          </cell>
          <cell r="E18" t="str">
            <v>=</v>
          </cell>
          <cell r="F18" t="str">
            <v>=</v>
          </cell>
          <cell r="G18" t="str">
            <v>=</v>
          </cell>
          <cell r="H18" t="str">
            <v>=</v>
          </cell>
          <cell r="K18">
            <v>60.2295030414109</v>
          </cell>
        </row>
        <row r="19">
          <cell r="D19" t="str">
            <v>Unit/Ac</v>
          </cell>
          <cell r="E19" t="str">
            <v>Number</v>
          </cell>
          <cell r="F19" t="str">
            <v>Cost/Unit</v>
          </cell>
          <cell r="G19" t="str">
            <v>$/Acre</v>
          </cell>
          <cell r="H19" t="str">
            <v>$/Year</v>
          </cell>
          <cell r="K19">
            <v>3.1</v>
          </cell>
        </row>
        <row r="20">
          <cell r="A20" t="str">
            <v>Expenses</v>
          </cell>
          <cell r="D20" t="str">
            <v>-------</v>
          </cell>
          <cell r="E20" t="str">
            <v>  ------</v>
          </cell>
          <cell r="F20" t="str">
            <v>-</v>
          </cell>
          <cell r="G20" t="str">
            <v>  ------</v>
          </cell>
          <cell r="H20" t="str">
            <v>  -------</v>
          </cell>
          <cell r="K20">
            <v>75.5</v>
          </cell>
        </row>
        <row r="21">
          <cell r="A21" t="str">
            <v>Variable Costs:</v>
          </cell>
          <cell r="K21" t="str">
            <v>Allo!C3..J14</v>
          </cell>
        </row>
        <row r="22">
          <cell r="A22" t="str">
            <v> Alfalfa Seed</v>
          </cell>
          <cell r="D22" t="str">
            <v>kg (1/3)</v>
          </cell>
          <cell r="E22">
            <v>5.44</v>
          </cell>
          <cell r="F22">
            <v>8.82</v>
          </cell>
          <cell r="G22">
            <v>47.9808</v>
          </cell>
          <cell r="H22">
            <v>0</v>
          </cell>
          <cell r="K22">
            <v>1</v>
          </cell>
        </row>
        <row r="23">
          <cell r="A23" t="str">
            <v> Other Seed </v>
          </cell>
          <cell r="D23" t="str">
            <v>kg</v>
          </cell>
          <cell r="E23">
            <v>0.45</v>
          </cell>
          <cell r="F23">
            <v>2.2</v>
          </cell>
          <cell r="G23">
            <v>0.9900000000000001</v>
          </cell>
          <cell r="H23">
            <v>0</v>
          </cell>
          <cell r="K23">
            <v>0</v>
          </cell>
        </row>
        <row r="24">
          <cell r="A24" t="str">
            <v> Inoculant</v>
          </cell>
          <cell r="D24" t="str">
            <v>kg</v>
          </cell>
          <cell r="E24">
            <v>0.045200000000000004</v>
          </cell>
          <cell r="F24">
            <v>12.78</v>
          </cell>
          <cell r="G24">
            <v>0</v>
          </cell>
          <cell r="H24">
            <v>0</v>
          </cell>
          <cell r="K24">
            <v>27.1</v>
          </cell>
        </row>
        <row r="25">
          <cell r="K25">
            <v>4.333333333333333</v>
          </cell>
        </row>
        <row r="26">
          <cell r="A26" t="str">
            <v> Fertilizer   #1</v>
          </cell>
          <cell r="C26" t="str">
            <v>8-32-16</v>
          </cell>
          <cell r="D26" t="str">
            <v>kg</v>
          </cell>
          <cell r="E26">
            <v>50</v>
          </cell>
          <cell r="F26">
            <v>0.35</v>
          </cell>
          <cell r="G26">
            <v>17.5</v>
          </cell>
          <cell r="H26">
            <v>0</v>
          </cell>
          <cell r="K26">
            <v>0</v>
          </cell>
        </row>
        <row r="27">
          <cell r="A27" t="str">
            <v>              #2</v>
          </cell>
          <cell r="C27" t="str">
            <v>0-0-60</v>
          </cell>
          <cell r="D27" t="str">
            <v>kg</v>
          </cell>
          <cell r="E27">
            <v>40</v>
          </cell>
          <cell r="F27">
            <v>0.24</v>
          </cell>
          <cell r="G27">
            <v>9.6</v>
          </cell>
          <cell r="H27">
            <v>0</v>
          </cell>
          <cell r="K27">
            <v>0</v>
          </cell>
        </row>
        <row r="28">
          <cell r="A28" t="str">
            <v>              #3</v>
          </cell>
          <cell r="C28" t="str">
            <v> </v>
          </cell>
          <cell r="D28" t="str">
            <v>kg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K28">
            <v>0</v>
          </cell>
        </row>
        <row r="30">
          <cell r="D30" t="str">
            <v>Unit/Ac</v>
          </cell>
          <cell r="E30" t="str">
            <v>Number</v>
          </cell>
          <cell r="F30" t="str">
            <v>Cost/Unit</v>
          </cell>
          <cell r="G30" t="str">
            <v>$/Acre</v>
          </cell>
          <cell r="H30" t="str">
            <v>$/Year</v>
          </cell>
        </row>
        <row r="31">
          <cell r="D31" t="str">
            <v>-------</v>
          </cell>
          <cell r="E31" t="str">
            <v>  ------</v>
          </cell>
          <cell r="F31" t="str">
            <v>-</v>
          </cell>
          <cell r="G31" t="str">
            <v>  ------</v>
          </cell>
          <cell r="H31" t="str">
            <v>  -------</v>
          </cell>
          <cell r="J31" t="str">
            <v>Grip prob factor (component of grip)</v>
          </cell>
          <cell r="K31" t="str">
            <v>  N/A</v>
          </cell>
        </row>
        <row r="32">
          <cell r="A32" t="str">
            <v> Herbicide </v>
          </cell>
          <cell r="J32" t="str">
            <v>C.I. prob factor (component of Crop Insurance)</v>
          </cell>
          <cell r="K32">
            <v>0</v>
          </cell>
        </row>
        <row r="33">
          <cell r="A33" t="str">
            <v>   Broadleaf Herbicides</v>
          </cell>
          <cell r="D33" t="str">
            <v>kg or l</v>
          </cell>
          <cell r="E33">
            <v>0.8</v>
          </cell>
          <cell r="F33">
            <v>16.25</v>
          </cell>
          <cell r="G33">
            <v>13</v>
          </cell>
          <cell r="H33">
            <v>0</v>
          </cell>
          <cell r="K33">
            <v>5</v>
          </cell>
        </row>
        <row r="34">
          <cell r="A34" t="str">
            <v>   Other Herbicides</v>
          </cell>
          <cell r="D34" t="str">
            <v>kg or l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>
            <v>0</v>
          </cell>
        </row>
        <row r="35">
          <cell r="A35" t="str">
            <v> Insecticides</v>
          </cell>
          <cell r="D35" t="str">
            <v>kg or l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 Crop Insurance</v>
          </cell>
          <cell r="D36" t="str">
            <v>Insurance</v>
          </cell>
          <cell r="E36">
            <v>1</v>
          </cell>
          <cell r="F36">
            <v>5</v>
          </cell>
          <cell r="G36">
            <v>0</v>
          </cell>
          <cell r="H36">
            <v>0</v>
          </cell>
        </row>
        <row r="37">
          <cell r="A37" t="str">
            <v> Custom Work  #1</v>
          </cell>
          <cell r="C37" t="str">
            <v>Mowing</v>
          </cell>
          <cell r="E37">
            <v>0</v>
          </cell>
          <cell r="F37">
            <v>8</v>
          </cell>
          <cell r="G37">
            <v>0</v>
          </cell>
          <cell r="H37">
            <v>0</v>
          </cell>
        </row>
        <row r="38">
          <cell r="A38" t="str">
            <v>              #2</v>
          </cell>
          <cell r="C38" t="str">
            <v>Baling</v>
          </cell>
          <cell r="E38">
            <v>0</v>
          </cell>
          <cell r="F38">
            <v>60</v>
          </cell>
          <cell r="G38">
            <v>0</v>
          </cell>
          <cell r="H38">
            <v>0</v>
          </cell>
        </row>
        <row r="39">
          <cell r="A39" t="str">
            <v> Baler Twine</v>
          </cell>
          <cell r="D39" t="str">
            <v>sq.bales</v>
          </cell>
          <cell r="E39">
            <v>151.8311111111111</v>
          </cell>
          <cell r="F39">
            <v>0.05</v>
          </cell>
          <cell r="G39">
            <v>0</v>
          </cell>
          <cell r="H39">
            <v>0</v>
          </cell>
        </row>
        <row r="40">
          <cell r="A40" t="str">
            <v> Storage</v>
          </cell>
          <cell r="D40" t="str">
            <v>tonnes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 Trucking</v>
          </cell>
          <cell r="D41" t="str">
            <v>tonnes</v>
          </cell>
          <cell r="E41">
            <v>3.1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 Marketing Fees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 Other</v>
          </cell>
          <cell r="D43" t="str">
            <v> 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7">
          <cell r="K47" t="str">
            <v>Wfarm!L4</v>
          </cell>
        </row>
        <row r="48">
          <cell r="K48" t="str">
            <v>Wfarm!L5</v>
          </cell>
        </row>
        <row r="49">
          <cell r="K49" t="str">
            <v>Wfarm!L6</v>
          </cell>
        </row>
        <row r="50">
          <cell r="K50" t="str">
            <v>Wfarm!L7</v>
          </cell>
        </row>
        <row r="51">
          <cell r="D51" t="str">
            <v>Typical</v>
          </cell>
          <cell r="E51" t="str">
            <v> Enterprise</v>
          </cell>
          <cell r="K51" t="str">
            <v>Wfarm!L8</v>
          </cell>
        </row>
        <row r="52">
          <cell r="D52" t="str">
            <v> $/Acre</v>
          </cell>
          <cell r="E52" t="str">
            <v> $ Allocated</v>
          </cell>
          <cell r="G52" t="str">
            <v>$/Acre</v>
          </cell>
          <cell r="H52" t="str">
            <v>$/Year</v>
          </cell>
        </row>
        <row r="53">
          <cell r="A53" t="str">
            <v> Fuel</v>
          </cell>
          <cell r="D53">
            <v>8</v>
          </cell>
          <cell r="E53">
            <v>0</v>
          </cell>
          <cell r="G53">
            <v>0</v>
          </cell>
          <cell r="H53">
            <v>0</v>
          </cell>
        </row>
        <row r="54">
          <cell r="A54" t="str">
            <v> Mach. Repair &amp; Maint.</v>
          </cell>
          <cell r="D54">
            <v>15</v>
          </cell>
          <cell r="E54">
            <v>0</v>
          </cell>
          <cell r="G54">
            <v>0</v>
          </cell>
          <cell r="H54">
            <v>0</v>
          </cell>
        </row>
        <row r="55">
          <cell r="A55" t="str">
            <v> Bldg. Repair &amp; Maint.</v>
          </cell>
          <cell r="D55">
            <v>8</v>
          </cell>
          <cell r="E55">
            <v>0</v>
          </cell>
          <cell r="G55">
            <v>0</v>
          </cell>
          <cell r="H55">
            <v>0</v>
          </cell>
          <cell r="J55">
            <v>0</v>
          </cell>
          <cell r="K55" t="str">
            <v>Wfarm!L9</v>
          </cell>
        </row>
        <row r="56">
          <cell r="A56" t="str">
            <v> Rent and Labour</v>
          </cell>
          <cell r="D56">
            <v>8</v>
          </cell>
          <cell r="E56">
            <v>0</v>
          </cell>
          <cell r="G56">
            <v>0</v>
          </cell>
          <cell r="H56">
            <v>0</v>
          </cell>
        </row>
        <row r="57">
          <cell r="A57" t="str">
            <v> General Variable Costs</v>
          </cell>
          <cell r="D57">
            <v>15</v>
          </cell>
          <cell r="E57">
            <v>0</v>
          </cell>
          <cell r="G57">
            <v>0</v>
          </cell>
          <cell r="H57">
            <v>0</v>
          </cell>
        </row>
        <row r="58">
          <cell r="A58" t="str">
            <v> Interest on</v>
          </cell>
          <cell r="C58" t="str">
            <v>%int</v>
          </cell>
          <cell r="D58" t="str">
            <v>%year</v>
          </cell>
        </row>
        <row r="59">
          <cell r="A59" t="str">
            <v> Operating Capital</v>
          </cell>
          <cell r="C59">
            <v>8</v>
          </cell>
          <cell r="D59">
            <v>33</v>
          </cell>
          <cell r="E59">
            <v>0</v>
          </cell>
          <cell r="G59">
            <v>0</v>
          </cell>
          <cell r="H59">
            <v>0</v>
          </cell>
        </row>
        <row r="60">
          <cell r="G60" t="str">
            <v>  ------</v>
          </cell>
          <cell r="H60" t="str">
            <v>  -------</v>
          </cell>
        </row>
        <row r="61">
          <cell r="A61" t="str">
            <v>Total Variable Costs</v>
          </cell>
          <cell r="G61">
            <v>0</v>
          </cell>
          <cell r="H61">
            <v>0</v>
          </cell>
          <cell r="K61" t="str">
            <v>Wfarm!K4</v>
          </cell>
        </row>
        <row r="62">
          <cell r="D62" t="str">
            <v>Typical</v>
          </cell>
          <cell r="E62" t="str">
            <v> Enterprise</v>
          </cell>
          <cell r="K62" t="str">
            <v>Wfarm!K5</v>
          </cell>
        </row>
        <row r="63">
          <cell r="A63" t="str">
            <v>Fixed Costs:</v>
          </cell>
          <cell r="D63" t="str">
            <v> $/Acre</v>
          </cell>
          <cell r="E63" t="str">
            <v> $ Allocated</v>
          </cell>
          <cell r="G63" t="str">
            <v>$/Acre</v>
          </cell>
          <cell r="H63" t="str">
            <v>$/Year</v>
          </cell>
          <cell r="K63" t="str">
            <v>Wfarm!K6</v>
          </cell>
        </row>
        <row r="64">
          <cell r="A64" t="str">
            <v> Depreciation</v>
          </cell>
          <cell r="D64">
            <v>22</v>
          </cell>
          <cell r="E64">
            <v>0</v>
          </cell>
          <cell r="G64">
            <v>0</v>
          </cell>
          <cell r="H64">
            <v>0</v>
          </cell>
          <cell r="K64" t="str">
            <v>Wfarm!K7</v>
          </cell>
        </row>
        <row r="65">
          <cell r="A65" t="str">
            <v> Interest on Term Loans</v>
          </cell>
          <cell r="D65">
            <v>13</v>
          </cell>
          <cell r="E65">
            <v>0</v>
          </cell>
          <cell r="G65">
            <v>0</v>
          </cell>
          <cell r="H65">
            <v>0</v>
          </cell>
        </row>
        <row r="66">
          <cell r="A66" t="str">
            <v> Long-term Leases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</row>
        <row r="67">
          <cell r="A67" t="str">
            <v> General Fixed Costs</v>
          </cell>
          <cell r="D67">
            <v>10</v>
          </cell>
          <cell r="E67">
            <v>0</v>
          </cell>
          <cell r="G67">
            <v>0</v>
          </cell>
          <cell r="H67">
            <v>0</v>
          </cell>
        </row>
        <row r="68">
          <cell r="G68" t="str">
            <v>  ------</v>
          </cell>
          <cell r="H68" t="str">
            <v>  -------</v>
          </cell>
        </row>
        <row r="69">
          <cell r="A69" t="str">
            <v>Total Fixed Costs</v>
          </cell>
          <cell r="G69">
            <v>0</v>
          </cell>
          <cell r="H69">
            <v>0</v>
          </cell>
        </row>
        <row r="70">
          <cell r="A70" t="str">
            <v>=</v>
          </cell>
          <cell r="B70" t="str">
            <v>=</v>
          </cell>
          <cell r="C70" t="str">
            <v>=</v>
          </cell>
          <cell r="D70" t="str">
            <v>=</v>
          </cell>
          <cell r="E70" t="str">
            <v>=</v>
          </cell>
          <cell r="F70" t="str">
            <v>=</v>
          </cell>
          <cell r="G70" t="str">
            <v>=</v>
          </cell>
          <cell r="H70" t="str">
            <v>=</v>
          </cell>
        </row>
        <row r="71">
          <cell r="A71" t="str">
            <v>Revenues:</v>
          </cell>
          <cell r="E71" t="str">
            <v>$/Acre</v>
          </cell>
          <cell r="F71" t="str">
            <v>$/Year</v>
          </cell>
        </row>
        <row r="72">
          <cell r="A72" t="str">
            <v>Total Expected Revenues</v>
          </cell>
          <cell r="E72">
            <v>234.05</v>
          </cell>
          <cell r="F72">
            <v>0</v>
          </cell>
        </row>
        <row r="73">
          <cell r="A73" t="str">
            <v>    add: Expected Insurance Revenues</v>
          </cell>
          <cell r="E73">
            <v>0</v>
          </cell>
          <cell r="F73">
            <v>0</v>
          </cell>
        </row>
        <row r="74">
          <cell r="A74" t="str">
            <v>    less: Variable Costs</v>
          </cell>
          <cell r="E74">
            <v>0</v>
          </cell>
          <cell r="F74">
            <v>0</v>
          </cell>
        </row>
        <row r="75">
          <cell r="E75" t="str">
            <v>  ------</v>
          </cell>
          <cell r="F75" t="str">
            <v>  -------</v>
          </cell>
        </row>
        <row r="76">
          <cell r="A76" t="str">
            <v>Expected Operating Margin</v>
          </cell>
          <cell r="E76">
            <v>0</v>
          </cell>
          <cell r="F76">
            <v>0</v>
          </cell>
        </row>
        <row r="77">
          <cell r="A77" t="str">
            <v>    less: Fixed Costs</v>
          </cell>
          <cell r="E77">
            <v>0</v>
          </cell>
          <cell r="F77">
            <v>0</v>
          </cell>
        </row>
        <row r="78">
          <cell r="E78" t="str">
            <v>  ------</v>
          </cell>
          <cell r="F78" t="str">
            <v>  -------</v>
          </cell>
        </row>
        <row r="79">
          <cell r="A79" t="str">
            <v>Expected Net Revenue</v>
          </cell>
          <cell r="E79">
            <v>0</v>
          </cell>
          <cell r="F79">
            <v>0</v>
          </cell>
        </row>
        <row r="81">
          <cell r="A81" t="str">
            <v>      Break-even $/tonne to cover:</v>
          </cell>
          <cell r="E81" t="str">
            <v>Variable Costs</v>
          </cell>
          <cell r="G81">
            <v>0</v>
          </cell>
        </row>
        <row r="82">
          <cell r="E82" t="str">
            <v>Fixed Costs</v>
          </cell>
          <cell r="G82">
            <v>0</v>
          </cell>
        </row>
        <row r="83">
          <cell r="G83" t="str">
            <v>  -------</v>
          </cell>
        </row>
        <row r="84">
          <cell r="E84" t="str">
            <v>Total Costs</v>
          </cell>
          <cell r="G84">
            <v>0</v>
          </cell>
        </row>
        <row r="85">
          <cell r="A85" t="str">
            <v>=</v>
          </cell>
          <cell r="B85" t="str">
            <v>=</v>
          </cell>
          <cell r="C85" t="str">
            <v>=</v>
          </cell>
          <cell r="D85" t="str">
            <v>=</v>
          </cell>
          <cell r="E85" t="str">
            <v>=</v>
          </cell>
          <cell r="F85" t="str">
            <v>=</v>
          </cell>
          <cell r="G85" t="str">
            <v>=</v>
          </cell>
          <cell r="H85" t="str">
            <v>=</v>
          </cell>
        </row>
        <row r="86">
          <cell r="B86" t="str">
            <v>Chance of at least breaking even          ==&gt;</v>
          </cell>
          <cell r="G86">
            <v>0</v>
          </cell>
        </row>
        <row r="87">
          <cell r="B87" t="str">
            <v>Chance of at least</v>
          </cell>
          <cell r="D87">
            <v>0</v>
          </cell>
          <cell r="E87" t="str">
            <v>$/acre return  ==&gt;</v>
          </cell>
          <cell r="G87">
            <v>0</v>
          </cell>
          <cell r="I87">
            <v>0</v>
          </cell>
        </row>
        <row r="88">
          <cell r="B88" t="str">
            <v>Coefficient of variation                  ==&gt;</v>
          </cell>
          <cell r="G88">
            <v>0</v>
          </cell>
          <cell r="I88">
            <v>0</v>
          </cell>
        </row>
        <row r="89">
          <cell r="H89" t="str">
            <v>mn</v>
          </cell>
          <cell r="I89">
            <v>12.64</v>
          </cell>
        </row>
        <row r="90">
          <cell r="C90" t="str">
            <v>Returns $/acre</v>
          </cell>
          <cell r="E90" t="str">
            <v>Chances of at least</v>
          </cell>
          <cell r="H90" t="str">
            <v>ystd</v>
          </cell>
          <cell r="I90">
            <v>0</v>
          </cell>
        </row>
        <row r="91">
          <cell r="E91" t="str">
            <v>this return per acre</v>
          </cell>
          <cell r="H91" t="str">
            <v>pstd</v>
          </cell>
        </row>
        <row r="92">
          <cell r="H92" t="str">
            <v>nrstd</v>
          </cell>
          <cell r="I92">
            <v>0</v>
          </cell>
          <cell r="J92">
            <v>0</v>
          </cell>
        </row>
        <row r="93">
          <cell r="C93">
            <v>0</v>
          </cell>
          <cell r="E93" t="str">
            <v>       17 %</v>
          </cell>
          <cell r="I93">
            <v>0</v>
          </cell>
          <cell r="J93">
            <v>0</v>
          </cell>
        </row>
        <row r="94">
          <cell r="C94">
            <v>0</v>
          </cell>
          <cell r="E94" t="str">
            <v>       33 %</v>
          </cell>
          <cell r="H94" t="str">
            <v>z</v>
          </cell>
          <cell r="I94">
            <v>0</v>
          </cell>
          <cell r="J94">
            <v>0</v>
          </cell>
        </row>
        <row r="95">
          <cell r="C95">
            <v>0</v>
          </cell>
          <cell r="E95" t="str">
            <v>       50 %</v>
          </cell>
          <cell r="H95" t="str">
            <v>v1</v>
          </cell>
          <cell r="I95">
            <v>0</v>
          </cell>
          <cell r="J95">
            <v>0</v>
          </cell>
        </row>
        <row r="96">
          <cell r="C96">
            <v>0</v>
          </cell>
          <cell r="E96" t="str">
            <v>       67 %</v>
          </cell>
          <cell r="H96" t="str">
            <v>v2</v>
          </cell>
        </row>
        <row r="97">
          <cell r="C97">
            <v>0</v>
          </cell>
          <cell r="E97" t="str">
            <v>       83 %</v>
          </cell>
          <cell r="H97" t="str">
            <v>p(vx)</v>
          </cell>
        </row>
        <row r="98">
          <cell r="H98" t="str">
            <v/>
          </cell>
        </row>
        <row r="99">
          <cell r="E99" t="str">
            <v>- End of Budget -</v>
          </cell>
        </row>
        <row r="100">
          <cell r="A100" t="str">
            <v>=</v>
          </cell>
          <cell r="B100" t="str">
            <v>=</v>
          </cell>
          <cell r="C100" t="str">
            <v>=</v>
          </cell>
          <cell r="D100" t="str">
            <v>=</v>
          </cell>
          <cell r="E100" t="str">
            <v>=</v>
          </cell>
          <cell r="F100" t="str">
            <v>=</v>
          </cell>
          <cell r="G100" t="str">
            <v>=</v>
          </cell>
          <cell r="H100" t="str">
            <v>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STUR"/>
    </sheetNames>
    <sheetDataSet>
      <sheetData sheetId="0">
        <row r="1">
          <cell r="A1" t="str">
            <v>Pastur 1</v>
          </cell>
          <cell r="C1" t="str">
            <v>PASTURE ENTERPRISE BUDGET</v>
          </cell>
          <cell r="G1" t="str">
            <v> Revised: May '98</v>
          </cell>
        </row>
        <row r="2">
          <cell r="A2">
            <v>703</v>
          </cell>
          <cell r="F2" t="str">
            <v>Profit Per Acre</v>
          </cell>
          <cell r="H2" t="e">
            <v>#REF!</v>
          </cell>
        </row>
        <row r="3">
          <cell r="B3" t="str">
            <v>Number of Acres =</v>
          </cell>
          <cell r="D3">
            <v>1</v>
          </cell>
        </row>
        <row r="4">
          <cell r="A4" t="str">
            <v>=</v>
          </cell>
          <cell r="B4" t="str">
            <v>=</v>
          </cell>
          <cell r="C4" t="str">
            <v>=</v>
          </cell>
          <cell r="D4" t="str">
            <v>=</v>
          </cell>
          <cell r="E4" t="str">
            <v>=</v>
          </cell>
          <cell r="F4" t="str">
            <v>=</v>
          </cell>
          <cell r="G4" t="str">
            <v>=</v>
          </cell>
          <cell r="H4" t="str">
            <v>=</v>
          </cell>
        </row>
        <row r="5">
          <cell r="B5" t="str">
            <v>  Optimistic</v>
          </cell>
          <cell r="D5" t="str">
            <v>  Expected</v>
          </cell>
          <cell r="F5" t="str">
            <v> Pessimistic</v>
          </cell>
        </row>
        <row r="6">
          <cell r="A6" t="str">
            <v>Tonne/ac</v>
          </cell>
          <cell r="B6">
            <v>4</v>
          </cell>
          <cell r="D6">
            <v>3</v>
          </cell>
          <cell r="F6">
            <v>1</v>
          </cell>
          <cell r="G6" t="str">
            <v>  Hay Equivalents</v>
          </cell>
        </row>
        <row r="7">
          <cell r="A7" t="str">
            <v>$/tonne</v>
          </cell>
          <cell r="B7">
            <v>75</v>
          </cell>
          <cell r="D7">
            <v>60</v>
          </cell>
          <cell r="F7">
            <v>50</v>
          </cell>
        </row>
        <row r="8">
          <cell r="A8" t="str">
            <v>Prod'n  t</v>
          </cell>
          <cell r="B8">
            <v>4</v>
          </cell>
          <cell r="D8">
            <v>3</v>
          </cell>
          <cell r="F8">
            <v>1</v>
          </cell>
        </row>
        <row r="9">
          <cell r="A9" t="str">
            <v>=</v>
          </cell>
          <cell r="B9" t="str">
            <v>=</v>
          </cell>
          <cell r="C9" t="str">
            <v>=</v>
          </cell>
          <cell r="D9" t="str">
            <v>=</v>
          </cell>
          <cell r="E9" t="str">
            <v>=</v>
          </cell>
          <cell r="F9" t="str">
            <v>=</v>
          </cell>
          <cell r="G9" t="str">
            <v>=</v>
          </cell>
          <cell r="H9" t="str">
            <v>=</v>
          </cell>
        </row>
        <row r="10">
          <cell r="A10" t="str">
            <v>  Crop Insurance</v>
          </cell>
        </row>
        <row r="11">
          <cell r="A11" t="str">
            <v>   C.I. Premium/ac:</v>
          </cell>
          <cell r="D11">
            <v>6</v>
          </cell>
        </row>
        <row r="12">
          <cell r="A12" t="str">
            <v>   Level of Coverage</v>
          </cell>
          <cell r="D12">
            <v>0.83</v>
          </cell>
        </row>
        <row r="13">
          <cell r="A13" t="str">
            <v>   Guaranteed Yield/ac.</v>
          </cell>
          <cell r="D13">
            <v>2.4899999999999998</v>
          </cell>
          <cell r="K13">
            <v>0</v>
          </cell>
        </row>
        <row r="14">
          <cell r="A14" t="str">
            <v>   Probability of a payout</v>
          </cell>
          <cell r="D14">
            <v>0.3669226765341138</v>
          </cell>
          <cell r="K14">
            <v>22.66051066304897</v>
          </cell>
        </row>
        <row r="15">
          <cell r="A15" t="str">
            <v>   Expected Payout/ac</v>
          </cell>
          <cell r="D15">
            <v>22.66051066304897</v>
          </cell>
          <cell r="K15" t="e">
            <v>#REF!</v>
          </cell>
        </row>
        <row r="16">
          <cell r="D16">
            <v>0.3669226765341138</v>
          </cell>
          <cell r="K16" t="e">
            <v>#REF!</v>
          </cell>
        </row>
        <row r="17">
          <cell r="A17" t="str">
            <v> Participate in CI? (y/n)</v>
          </cell>
          <cell r="D17" t="str">
            <v>Yes</v>
          </cell>
          <cell r="K17">
            <v>180</v>
          </cell>
        </row>
        <row r="18">
          <cell r="A18" t="str">
            <v>=</v>
          </cell>
          <cell r="B18" t="str">
            <v>=</v>
          </cell>
          <cell r="C18" t="str">
            <v>=</v>
          </cell>
          <cell r="D18" t="str">
            <v>=</v>
          </cell>
          <cell r="E18" t="str">
            <v>=</v>
          </cell>
          <cell r="F18" t="str">
            <v>=</v>
          </cell>
          <cell r="G18" t="str">
            <v>=</v>
          </cell>
          <cell r="H18" t="str">
            <v>=</v>
          </cell>
          <cell r="K18">
            <v>94.60638167888442</v>
          </cell>
        </row>
        <row r="19">
          <cell r="D19" t="str">
            <v>Unit/Ac</v>
          </cell>
          <cell r="E19" t="str">
            <v>Number</v>
          </cell>
          <cell r="F19" t="str">
            <v>Cost/Unit</v>
          </cell>
          <cell r="G19" t="str">
            <v>$/Acre</v>
          </cell>
          <cell r="H19" t="str">
            <v>$/Year</v>
          </cell>
          <cell r="K19">
            <v>3</v>
          </cell>
        </row>
        <row r="20">
          <cell r="A20" t="str">
            <v>Expenses</v>
          </cell>
          <cell r="D20" t="str">
            <v>-------</v>
          </cell>
          <cell r="E20" t="str">
            <v>  ------</v>
          </cell>
          <cell r="F20" t="str">
            <v>-</v>
          </cell>
          <cell r="G20" t="str">
            <v>  ------</v>
          </cell>
          <cell r="H20" t="str">
            <v>  -------</v>
          </cell>
          <cell r="K20">
            <v>60</v>
          </cell>
        </row>
        <row r="21">
          <cell r="A21" t="str">
            <v>Variable Costs:</v>
          </cell>
          <cell r="K21" t="str">
            <v>Allo!C3..J14</v>
          </cell>
        </row>
        <row r="22">
          <cell r="A22" t="str">
            <v> Seed (Establishment - 4yr)</v>
          </cell>
          <cell r="D22" t="str">
            <v>kg</v>
          </cell>
          <cell r="E22">
            <v>7.71</v>
          </cell>
          <cell r="F22">
            <v>7</v>
          </cell>
          <cell r="G22">
            <v>53.97</v>
          </cell>
          <cell r="H22">
            <v>13.4925</v>
          </cell>
          <cell r="K22">
            <v>1</v>
          </cell>
        </row>
        <row r="23">
          <cell r="A23" t="str">
            <v> Seed Treatment</v>
          </cell>
          <cell r="D23" t="str">
            <v>$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K23">
            <v>13.4925</v>
          </cell>
        </row>
        <row r="24">
          <cell r="K24">
            <v>49.917500000000004</v>
          </cell>
        </row>
        <row r="25">
          <cell r="A25" t="str">
            <v> Fertilizer   #1</v>
          </cell>
          <cell r="C25" t="str">
            <v>45-0-0</v>
          </cell>
          <cell r="D25" t="str">
            <v>kg</v>
          </cell>
          <cell r="E25">
            <v>68</v>
          </cell>
          <cell r="F25">
            <v>0.36</v>
          </cell>
          <cell r="G25">
            <v>24.48</v>
          </cell>
          <cell r="H25">
            <v>24.48</v>
          </cell>
          <cell r="K25">
            <v>21.86</v>
          </cell>
        </row>
        <row r="26">
          <cell r="A26" t="str">
            <v>Establishment #2</v>
          </cell>
          <cell r="C26" t="str">
            <v>8-32-16</v>
          </cell>
          <cell r="D26" t="str">
            <v>kg</v>
          </cell>
          <cell r="E26">
            <v>175</v>
          </cell>
          <cell r="F26">
            <v>0.17</v>
          </cell>
          <cell r="G26">
            <v>29.750000000000004</v>
          </cell>
          <cell r="H26">
            <v>7.437500000000001</v>
          </cell>
          <cell r="K26">
            <v>6</v>
          </cell>
        </row>
        <row r="27">
          <cell r="A27" t="str">
            <v>              #3</v>
          </cell>
          <cell r="C27" t="str">
            <v>0-0-62</v>
          </cell>
          <cell r="D27" t="str">
            <v>kg</v>
          </cell>
          <cell r="E27">
            <v>150</v>
          </cell>
          <cell r="F27">
            <v>0.12</v>
          </cell>
          <cell r="G27">
            <v>18</v>
          </cell>
          <cell r="H27">
            <v>18</v>
          </cell>
          <cell r="K27">
            <v>0</v>
          </cell>
        </row>
        <row r="28">
          <cell r="K28">
            <v>0</v>
          </cell>
        </row>
        <row r="29">
          <cell r="D29" t="str">
            <v>Unit/Ac</v>
          </cell>
          <cell r="E29" t="str">
            <v>Number</v>
          </cell>
          <cell r="F29" t="str">
            <v>Cost/Unit</v>
          </cell>
          <cell r="G29" t="str">
            <v>$/Acre</v>
          </cell>
          <cell r="H29" t="str">
            <v>$/Year</v>
          </cell>
        </row>
        <row r="30">
          <cell r="D30" t="str">
            <v>-------</v>
          </cell>
          <cell r="E30" t="str">
            <v>  ------</v>
          </cell>
          <cell r="F30" t="str">
            <v>-</v>
          </cell>
          <cell r="G30" t="str">
            <v>  ------</v>
          </cell>
          <cell r="H30" t="str">
            <v>  -------</v>
          </cell>
        </row>
        <row r="31">
          <cell r="A31" t="str">
            <v> Herbicide </v>
          </cell>
          <cell r="J31" t="str">
            <v>Grip prob factor (component of grip)</v>
          </cell>
          <cell r="K31" t="str">
            <v>  N/A</v>
          </cell>
        </row>
        <row r="32">
          <cell r="A32" t="str">
            <v>   Broadleaf Herbicides</v>
          </cell>
          <cell r="D32" t="str">
            <v>kg or l</v>
          </cell>
          <cell r="E32">
            <v>1</v>
          </cell>
          <cell r="F32">
            <v>8.9</v>
          </cell>
          <cell r="G32">
            <v>8.9</v>
          </cell>
          <cell r="H32">
            <v>8.9</v>
          </cell>
          <cell r="J32" t="str">
            <v>C.I. prob factor (component of Crop Insurance)</v>
          </cell>
          <cell r="K32">
            <v>1.1131078</v>
          </cell>
        </row>
        <row r="33">
          <cell r="A33" t="str">
            <v>   Other Herbicides</v>
          </cell>
          <cell r="D33" t="str">
            <v>kg or l</v>
          </cell>
          <cell r="E33">
            <v>0.8</v>
          </cell>
          <cell r="F33">
            <v>16.2</v>
          </cell>
          <cell r="G33">
            <v>12.96</v>
          </cell>
          <cell r="H33">
            <v>12.96</v>
          </cell>
          <cell r="K33">
            <v>6</v>
          </cell>
        </row>
        <row r="34">
          <cell r="A34" t="str">
            <v> Crop Insurance</v>
          </cell>
          <cell r="D34" t="str">
            <v>Insurance</v>
          </cell>
          <cell r="E34">
            <v>1</v>
          </cell>
          <cell r="F34">
            <v>6</v>
          </cell>
          <cell r="G34">
            <v>6</v>
          </cell>
          <cell r="H34">
            <v>6</v>
          </cell>
          <cell r="K34">
            <v>6</v>
          </cell>
        </row>
        <row r="35">
          <cell r="A35" t="str">
            <v> Custom Work   #1</v>
          </cell>
          <cell r="C35" t="str">
            <v> </v>
          </cell>
          <cell r="D35" t="str">
            <v>$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               #2</v>
          </cell>
          <cell r="C36" t="str">
            <v> </v>
          </cell>
          <cell r="D36" t="str">
            <v>$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 Marketing Fees</v>
          </cell>
          <cell r="D37" t="str">
            <v>$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 Other</v>
          </cell>
          <cell r="D38" t="str">
            <v>$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D39" t="str">
            <v>Typical</v>
          </cell>
          <cell r="E39" t="str">
            <v> Enterprise</v>
          </cell>
        </row>
        <row r="40">
          <cell r="D40" t="str">
            <v> $/Acre</v>
          </cell>
          <cell r="E40" t="str">
            <v> $ Allocated</v>
          </cell>
          <cell r="G40" t="str">
            <v>$/Acre</v>
          </cell>
          <cell r="H40" t="str">
            <v>$/Year</v>
          </cell>
        </row>
        <row r="41">
          <cell r="A41" t="str">
            <v> Fuel</v>
          </cell>
          <cell r="D41">
            <v>2</v>
          </cell>
          <cell r="E41" t="e">
            <v>#REF!</v>
          </cell>
          <cell r="G41" t="e">
            <v>#REF!</v>
          </cell>
          <cell r="H41" t="e">
            <v>#REF!</v>
          </cell>
        </row>
        <row r="42">
          <cell r="A42" t="str">
            <v> Mach. Repair &amp; Maint.</v>
          </cell>
          <cell r="D42">
            <v>2</v>
          </cell>
          <cell r="E42" t="e">
            <v>#REF!</v>
          </cell>
          <cell r="G42" t="e">
            <v>#REF!</v>
          </cell>
          <cell r="H42" t="e">
            <v>#REF!</v>
          </cell>
        </row>
        <row r="43">
          <cell r="A43" t="str">
            <v> Repair &amp; Maint.(Fencing)</v>
          </cell>
          <cell r="D43">
            <v>6</v>
          </cell>
          <cell r="E43" t="e">
            <v>#REF!</v>
          </cell>
          <cell r="G43" t="e">
            <v>#REF!</v>
          </cell>
          <cell r="H43" t="e">
            <v>#REF!</v>
          </cell>
          <cell r="K43" t="str">
            <v>Wfarm!L4</v>
          </cell>
        </row>
        <row r="44">
          <cell r="A44" t="str">
            <v> Rent and Labour</v>
          </cell>
          <cell r="D44">
            <v>30</v>
          </cell>
          <cell r="E44" t="e">
            <v>#REF!</v>
          </cell>
          <cell r="G44" t="e">
            <v>#REF!</v>
          </cell>
          <cell r="H44" t="e">
            <v>#REF!</v>
          </cell>
          <cell r="K44" t="str">
            <v>Wfarm!L5</v>
          </cell>
        </row>
        <row r="45">
          <cell r="A45" t="str">
            <v> General Variable Costs</v>
          </cell>
          <cell r="D45">
            <v>5</v>
          </cell>
          <cell r="E45" t="e">
            <v>#REF!</v>
          </cell>
          <cell r="G45" t="e">
            <v>#REF!</v>
          </cell>
          <cell r="H45" t="e">
            <v>#REF!</v>
          </cell>
          <cell r="K45" t="str">
            <v>Wfarm!L6</v>
          </cell>
        </row>
        <row r="46">
          <cell r="A46" t="str">
            <v>Interest on</v>
          </cell>
          <cell r="C46" t="str">
            <v>%int</v>
          </cell>
          <cell r="D46" t="str">
            <v>%year</v>
          </cell>
          <cell r="K46" t="str">
            <v>Wfarm!L7</v>
          </cell>
        </row>
        <row r="47">
          <cell r="A47" t="str">
            <v>Operating Capital</v>
          </cell>
          <cell r="C47">
            <v>7.75</v>
          </cell>
          <cell r="D47">
            <v>50</v>
          </cell>
          <cell r="E47" t="e">
            <v>#REF!</v>
          </cell>
          <cell r="G47" t="e">
            <v>#REF!</v>
          </cell>
          <cell r="H47" t="e">
            <v>#REF!</v>
          </cell>
          <cell r="K47" t="str">
            <v>Wfarm!L8</v>
          </cell>
        </row>
        <row r="48">
          <cell r="G48" t="str">
            <v>  ------</v>
          </cell>
          <cell r="H48" t="str">
            <v>  -------</v>
          </cell>
        </row>
        <row r="49">
          <cell r="A49" t="str">
            <v>Total Variable Costs</v>
          </cell>
          <cell r="G49" t="e">
            <v>#REF!</v>
          </cell>
          <cell r="H49" t="e">
            <v>#REF!</v>
          </cell>
        </row>
        <row r="50">
          <cell r="J50" t="e">
            <v>#REF!</v>
          </cell>
          <cell r="K50" t="str">
            <v>Wfarm!L9</v>
          </cell>
        </row>
        <row r="51">
          <cell r="D51" t="str">
            <v>Typical</v>
          </cell>
          <cell r="E51" t="str">
            <v> Enterprise</v>
          </cell>
        </row>
        <row r="52">
          <cell r="A52" t="str">
            <v>Fixed Costs:</v>
          </cell>
          <cell r="D52" t="str">
            <v> $/Acre</v>
          </cell>
          <cell r="E52" t="str">
            <v> $ Allocated</v>
          </cell>
          <cell r="G52" t="str">
            <v>$/Acre</v>
          </cell>
          <cell r="H52" t="str">
            <v>$/Year</v>
          </cell>
        </row>
        <row r="53">
          <cell r="A53" t="str">
            <v> Depreciation</v>
          </cell>
          <cell r="D53">
            <v>10</v>
          </cell>
          <cell r="E53" t="e">
            <v>#REF!</v>
          </cell>
          <cell r="G53" t="e">
            <v>#REF!</v>
          </cell>
          <cell r="H53" t="e">
            <v>#REF!</v>
          </cell>
        </row>
        <row r="54">
          <cell r="A54" t="str">
            <v> Interest on Term Loans</v>
          </cell>
          <cell r="D54">
            <v>0</v>
          </cell>
          <cell r="E54" t="e">
            <v>#REF!</v>
          </cell>
          <cell r="G54" t="e">
            <v>#REF!</v>
          </cell>
          <cell r="H54" t="e">
            <v>#REF!</v>
          </cell>
        </row>
        <row r="55">
          <cell r="A55" t="str">
            <v> Long-term Leases</v>
          </cell>
          <cell r="D55">
            <v>0</v>
          </cell>
          <cell r="E55" t="e">
            <v>#REF!</v>
          </cell>
          <cell r="G55" t="e">
            <v>#REF!</v>
          </cell>
          <cell r="H55" t="e">
            <v>#REF!</v>
          </cell>
        </row>
        <row r="56">
          <cell r="A56" t="str">
            <v> General Fixed Costs</v>
          </cell>
          <cell r="D56">
            <v>10</v>
          </cell>
          <cell r="E56" t="e">
            <v>#REF!</v>
          </cell>
          <cell r="G56" t="e">
            <v>#REF!</v>
          </cell>
          <cell r="H56" t="e">
            <v>#REF!</v>
          </cell>
        </row>
        <row r="57">
          <cell r="G57" t="str">
            <v>  ------</v>
          </cell>
          <cell r="H57" t="str">
            <v>  -------</v>
          </cell>
        </row>
        <row r="58">
          <cell r="A58" t="str">
            <v>Total Fixed Costs</v>
          </cell>
          <cell r="G58" t="e">
            <v>#REF!</v>
          </cell>
          <cell r="H58" t="e">
            <v>#REF!</v>
          </cell>
        </row>
        <row r="59">
          <cell r="A59" t="str">
            <v>=</v>
          </cell>
          <cell r="B59" t="str">
            <v>=</v>
          </cell>
          <cell r="C59" t="str">
            <v>=</v>
          </cell>
          <cell r="D59" t="str">
            <v>=</v>
          </cell>
          <cell r="E59" t="str">
            <v>=</v>
          </cell>
          <cell r="F59" t="str">
            <v>=</v>
          </cell>
          <cell r="G59" t="str">
            <v>=</v>
          </cell>
          <cell r="H59" t="str">
            <v>=</v>
          </cell>
          <cell r="K59" t="str">
            <v>Wfarm!K4</v>
          </cell>
        </row>
        <row r="60">
          <cell r="A60" t="str">
            <v>Revenues:</v>
          </cell>
          <cell r="E60" t="str">
            <v>$/Acre</v>
          </cell>
          <cell r="F60" t="str">
            <v>$/Year</v>
          </cell>
          <cell r="K60" t="str">
            <v>Wfarm!K5</v>
          </cell>
        </row>
        <row r="61">
          <cell r="A61" t="str">
            <v>Total Expected Revenues</v>
          </cell>
          <cell r="E61">
            <v>180</v>
          </cell>
          <cell r="F61">
            <v>180</v>
          </cell>
          <cell r="K61" t="str">
            <v>Wfarm!K6</v>
          </cell>
        </row>
        <row r="62">
          <cell r="A62" t="str">
            <v>    add: Expected Insurance Revenues</v>
          </cell>
          <cell r="E62">
            <v>22.66051066304897</v>
          </cell>
          <cell r="F62">
            <v>22.66051066304897</v>
          </cell>
          <cell r="K62" t="str">
            <v>Wfarm!K7</v>
          </cell>
        </row>
        <row r="63">
          <cell r="A63" t="str">
            <v>    less: Variable Costs</v>
          </cell>
          <cell r="E63" t="e">
            <v>#REF!</v>
          </cell>
          <cell r="F63" t="e">
            <v>#REF!</v>
          </cell>
        </row>
        <row r="64">
          <cell r="E64" t="str">
            <v>  -------</v>
          </cell>
          <cell r="F64" t="str">
            <v>  -------</v>
          </cell>
        </row>
        <row r="65">
          <cell r="A65" t="str">
            <v>Expected Operating Margin</v>
          </cell>
          <cell r="E65" t="e">
            <v>#REF!</v>
          </cell>
          <cell r="F65" t="e">
            <v>#REF!</v>
          </cell>
        </row>
        <row r="66">
          <cell r="A66" t="str">
            <v>    less: Fixed Costs</v>
          </cell>
          <cell r="E66" t="e">
            <v>#REF!</v>
          </cell>
          <cell r="F66" t="e">
            <v>#REF!</v>
          </cell>
        </row>
        <row r="67">
          <cell r="E67" t="str">
            <v>  -------</v>
          </cell>
          <cell r="F67" t="str">
            <v>  -------</v>
          </cell>
        </row>
        <row r="68">
          <cell r="A68" t="str">
            <v>Expected Net Revenue</v>
          </cell>
          <cell r="E68" t="e">
            <v>#REF!</v>
          </cell>
          <cell r="F68" t="e">
            <v>#REF!</v>
          </cell>
        </row>
        <row r="70">
          <cell r="A70" t="str">
            <v>      Break-even $/tonne to cover:</v>
          </cell>
          <cell r="E70" t="str">
            <v>Variable Costs</v>
          </cell>
          <cell r="G70" t="e">
            <v>#REF!</v>
          </cell>
        </row>
        <row r="71">
          <cell r="E71" t="str">
            <v>Fixed Costs</v>
          </cell>
          <cell r="G71" t="e">
            <v>#REF!</v>
          </cell>
        </row>
        <row r="72">
          <cell r="G72" t="str">
            <v>  -------</v>
          </cell>
        </row>
        <row r="73">
          <cell r="E73" t="str">
            <v>Total Costs</v>
          </cell>
          <cell r="G73" t="e">
            <v>#REF!</v>
          </cell>
        </row>
        <row r="75">
          <cell r="A75" t="str">
            <v>=</v>
          </cell>
          <cell r="B75" t="str">
            <v>=</v>
          </cell>
          <cell r="C75" t="str">
            <v>=</v>
          </cell>
          <cell r="D75" t="str">
            <v>=</v>
          </cell>
          <cell r="E75" t="str">
            <v>=</v>
          </cell>
          <cell r="F75" t="str">
            <v>=</v>
          </cell>
          <cell r="G75" t="str">
            <v>=</v>
          </cell>
          <cell r="H75" t="str">
            <v>=</v>
          </cell>
        </row>
        <row r="76">
          <cell r="B76" t="str">
            <v>Chance of at least breaking even          ==&gt;</v>
          </cell>
          <cell r="G76" t="e">
            <v>#REF!</v>
          </cell>
        </row>
        <row r="77">
          <cell r="B77" t="str">
            <v>Chance of at least</v>
          </cell>
          <cell r="D77">
            <v>0</v>
          </cell>
          <cell r="E77" t="str">
            <v>$/acre return  ==&gt;</v>
          </cell>
          <cell r="G77" t="e">
            <v>#REF!</v>
          </cell>
        </row>
        <row r="78">
          <cell r="B78" t="str">
            <v>Coefficient of variation                  ==&gt;</v>
          </cell>
          <cell r="G78">
            <v>0.5255910093271356</v>
          </cell>
        </row>
        <row r="79">
          <cell r="H79" t="str">
            <v>mn</v>
          </cell>
        </row>
        <row r="80">
          <cell r="C80" t="str">
            <v>Returns $/acre</v>
          </cell>
          <cell r="E80" t="str">
            <v>Chances of at least</v>
          </cell>
          <cell r="H80" t="str">
            <v>ystd</v>
          </cell>
        </row>
        <row r="81">
          <cell r="E81" t="str">
            <v>this return per acre</v>
          </cell>
          <cell r="H81" t="str">
            <v>pstd</v>
          </cell>
        </row>
        <row r="82">
          <cell r="H82" t="str">
            <v>nrstd</v>
          </cell>
        </row>
        <row r="83">
          <cell r="C83" t="e">
            <v>#REF!</v>
          </cell>
          <cell r="E83" t="str">
            <v>       17 %</v>
          </cell>
        </row>
        <row r="84">
          <cell r="C84" t="e">
            <v>#REF!</v>
          </cell>
          <cell r="E84" t="str">
            <v>       33 %</v>
          </cell>
          <cell r="H84" t="str">
            <v>z</v>
          </cell>
        </row>
        <row r="85">
          <cell r="C85" t="e">
            <v>#REF!</v>
          </cell>
          <cell r="E85" t="str">
            <v>       50 %</v>
          </cell>
          <cell r="H85" t="str">
            <v>v1</v>
          </cell>
        </row>
        <row r="86">
          <cell r="C86" t="e">
            <v>#REF!</v>
          </cell>
          <cell r="E86" t="str">
            <v>       67 %</v>
          </cell>
          <cell r="H86" t="str">
            <v>v2</v>
          </cell>
          <cell r="I86" t="e">
            <v>#REF!</v>
          </cell>
        </row>
        <row r="87">
          <cell r="C87" t="e">
            <v>#REF!</v>
          </cell>
          <cell r="E87" t="str">
            <v>       83 %</v>
          </cell>
          <cell r="H87" t="str">
            <v>p(vx)</v>
          </cell>
          <cell r="I87">
            <v>1.4171864</v>
          </cell>
        </row>
        <row r="88">
          <cell r="H88" t="str">
            <v/>
          </cell>
          <cell r="I88">
            <v>12.5</v>
          </cell>
        </row>
        <row r="89">
          <cell r="E89" t="str">
            <v>- End of Budget -</v>
          </cell>
          <cell r="I89">
            <v>94.60638167888442</v>
          </cell>
        </row>
        <row r="90">
          <cell r="A90" t="str">
            <v>=</v>
          </cell>
          <cell r="B90" t="str">
            <v>=</v>
          </cell>
          <cell r="C90" t="str">
            <v>=</v>
          </cell>
          <cell r="D90" t="str">
            <v>=</v>
          </cell>
          <cell r="E90" t="str">
            <v>=</v>
          </cell>
          <cell r="F90" t="str">
            <v>=</v>
          </cell>
          <cell r="G90" t="str">
            <v>=</v>
          </cell>
          <cell r="H90" t="str">
            <v>=</v>
          </cell>
        </row>
        <row r="91">
          <cell r="I91" t="e">
            <v>#REF!</v>
          </cell>
          <cell r="J91" t="e">
            <v>#REF!</v>
          </cell>
        </row>
        <row r="92">
          <cell r="I92" t="e">
            <v>#REF!</v>
          </cell>
          <cell r="J92" t="e">
            <v>#REF!</v>
          </cell>
        </row>
        <row r="93">
          <cell r="I93" t="e">
            <v>#REF!</v>
          </cell>
          <cell r="J93" t="e">
            <v>#REF!</v>
          </cell>
        </row>
        <row r="94">
          <cell r="I94" t="e">
            <v>#REF!</v>
          </cell>
          <cell r="J94" t="e">
            <v>#REF!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LAGE"/>
    </sheetNames>
    <sheetDataSet>
      <sheetData sheetId="0">
        <row r="1">
          <cell r="A1" t="str">
            <v>Silage 1</v>
          </cell>
          <cell r="C1" t="str">
            <v>CORN SILAGE ENTERPRISE BUDGET</v>
          </cell>
          <cell r="G1" t="str">
            <v>Revised: May '98</v>
          </cell>
        </row>
        <row r="2">
          <cell r="A2">
            <v>701</v>
          </cell>
          <cell r="F2" t="str">
            <v>Profit Per Acre</v>
          </cell>
          <cell r="H2" t="e">
            <v>#REF!</v>
          </cell>
        </row>
        <row r="3">
          <cell r="B3" t="str">
            <v>Number of Acres =</v>
          </cell>
          <cell r="D3">
            <v>1</v>
          </cell>
          <cell r="F3" t="str">
            <v>1 tonne =</v>
          </cell>
          <cell r="G3">
            <v>1.1023</v>
          </cell>
          <cell r="H3" t="str">
            <v>ton</v>
          </cell>
        </row>
        <row r="5">
          <cell r="A5" t="str">
            <v>=</v>
          </cell>
          <cell r="B5" t="str">
            <v>=</v>
          </cell>
          <cell r="C5" t="str">
            <v>=</v>
          </cell>
          <cell r="D5" t="str">
            <v>=</v>
          </cell>
          <cell r="E5" t="str">
            <v>=</v>
          </cell>
          <cell r="F5" t="str">
            <v>=</v>
          </cell>
          <cell r="G5" t="str">
            <v>=</v>
          </cell>
          <cell r="H5" t="str">
            <v>=</v>
          </cell>
        </row>
        <row r="6">
          <cell r="C6" t="str">
            <v>  Optimistic</v>
          </cell>
          <cell r="E6" t="str">
            <v>  Expected</v>
          </cell>
          <cell r="G6" t="str">
            <v> Pessimistic</v>
          </cell>
        </row>
        <row r="7">
          <cell r="A7" t="str">
            <v>Yield - tonne/acre</v>
          </cell>
          <cell r="C7">
            <v>16</v>
          </cell>
          <cell r="E7">
            <v>12.5</v>
          </cell>
          <cell r="G7">
            <v>11.4</v>
          </cell>
        </row>
        <row r="8">
          <cell r="A8" t="str">
            <v>Price - $/tonne</v>
          </cell>
          <cell r="C8">
            <v>27.83</v>
          </cell>
          <cell r="E8">
            <v>26.25</v>
          </cell>
          <cell r="G8">
            <v>25.3</v>
          </cell>
        </row>
        <row r="9">
          <cell r="A9" t="str">
            <v>Production - tonne</v>
          </cell>
          <cell r="C9">
            <v>16</v>
          </cell>
          <cell r="E9">
            <v>12.5</v>
          </cell>
          <cell r="G9">
            <v>11.4</v>
          </cell>
        </row>
        <row r="10">
          <cell r="A10" t="str">
            <v>=</v>
          </cell>
          <cell r="B10" t="str">
            <v>=</v>
          </cell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</row>
        <row r="11">
          <cell r="D11" t="str">
            <v>Insurance Evaluation</v>
          </cell>
        </row>
        <row r="12">
          <cell r="A12" t="str">
            <v>Market Revenue Ins.</v>
          </cell>
          <cell r="E12" t="str">
            <v>  Crop Insurance</v>
          </cell>
        </row>
        <row r="13">
          <cell r="A13" t="str">
            <v> Premium/ac:</v>
          </cell>
          <cell r="D13">
            <v>0.008298442822155591</v>
          </cell>
          <cell r="E13" t="str">
            <v>   C.I. Premium/ac:</v>
          </cell>
          <cell r="H13">
            <v>13.05</v>
          </cell>
          <cell r="K13">
            <v>0.02514679643077452</v>
          </cell>
        </row>
        <row r="14">
          <cell r="A14" t="str">
            <v> Guaranteed Price/bu</v>
          </cell>
          <cell r="D14">
            <v>23</v>
          </cell>
          <cell r="E14" t="str">
            <v>   Level of Coverage</v>
          </cell>
          <cell r="H14">
            <v>0.85</v>
          </cell>
          <cell r="K14">
            <v>7.090262562564263</v>
          </cell>
        </row>
        <row r="15">
          <cell r="A15" t="str">
            <v> Probability of a payout</v>
          </cell>
          <cell r="D15">
            <v>0.0051064266261023235</v>
          </cell>
          <cell r="E15" t="str">
            <v>   Guaranteed Yield/ac.</v>
          </cell>
          <cell r="H15">
            <v>10.625</v>
          </cell>
          <cell r="K15" t="e">
            <v>#REF!</v>
          </cell>
        </row>
        <row r="16">
          <cell r="A16" t="str">
            <v> Expected Payout/ac</v>
          </cell>
          <cell r="D16">
            <v>0.02514679643077452</v>
          </cell>
          <cell r="E16" t="str">
            <v>   Probability of a payout</v>
          </cell>
          <cell r="H16">
            <v>0.2074692832694126</v>
          </cell>
          <cell r="K16" t="e">
            <v>#REF!</v>
          </cell>
        </row>
        <row r="17">
          <cell r="D17">
            <v>0.0051064266261023235</v>
          </cell>
          <cell r="E17" t="str">
            <v>   Expected Payout/ac</v>
          </cell>
          <cell r="H17">
            <v>7.065115766133489</v>
          </cell>
          <cell r="K17">
            <v>328.125</v>
          </cell>
        </row>
        <row r="18">
          <cell r="H18">
            <v>0.2074692832694126</v>
          </cell>
          <cell r="K18">
            <v>101.04864041674843</v>
          </cell>
        </row>
        <row r="19">
          <cell r="A19" t="str">
            <v>Participate in MRIP? (y/n)</v>
          </cell>
          <cell r="D19" t="str">
            <v>Yes</v>
          </cell>
          <cell r="E19" t="str">
            <v>  Participate in CI? (y/n)</v>
          </cell>
          <cell r="H19" t="str">
            <v>Yes</v>
          </cell>
          <cell r="K19">
            <v>12.5</v>
          </cell>
        </row>
        <row r="20">
          <cell r="A20" t="str">
            <v>=</v>
          </cell>
          <cell r="B20" t="str">
            <v>=</v>
          </cell>
          <cell r="C20" t="str">
            <v>=</v>
          </cell>
          <cell r="D20" t="str">
            <v>=</v>
          </cell>
          <cell r="E20" t="str">
            <v>=</v>
          </cell>
          <cell r="F20" t="str">
            <v>=</v>
          </cell>
          <cell r="G20" t="str">
            <v>=</v>
          </cell>
          <cell r="H20" t="str">
            <v>=</v>
          </cell>
          <cell r="K20">
            <v>26.25</v>
          </cell>
        </row>
        <row r="21">
          <cell r="D21" t="str">
            <v>Unit/Ac</v>
          </cell>
          <cell r="E21" t="str">
            <v>Number</v>
          </cell>
          <cell r="F21" t="str">
            <v>Cost/Unit</v>
          </cell>
          <cell r="G21" t="str">
            <v>$/Acre</v>
          </cell>
          <cell r="H21" t="str">
            <v>$/Year</v>
          </cell>
          <cell r="K21" t="str">
            <v>Allo!C3..J14</v>
          </cell>
        </row>
        <row r="22">
          <cell r="A22" t="str">
            <v>Expenses</v>
          </cell>
          <cell r="D22" t="str">
            <v>-------</v>
          </cell>
          <cell r="E22" t="str">
            <v>  ------</v>
          </cell>
          <cell r="F22" t="str">
            <v>-</v>
          </cell>
          <cell r="G22" t="str">
            <v>  -------</v>
          </cell>
          <cell r="H22" t="str">
            <v>  -------</v>
          </cell>
          <cell r="K22">
            <v>1</v>
          </cell>
        </row>
        <row r="23">
          <cell r="A23" t="str">
            <v>Variable Costs:</v>
          </cell>
          <cell r="K23">
            <v>35.339999999999996</v>
          </cell>
        </row>
        <row r="24">
          <cell r="A24" t="str">
            <v> Seed </v>
          </cell>
          <cell r="D24" t="str">
            <v>M-kernel</v>
          </cell>
          <cell r="E24">
            <v>31</v>
          </cell>
          <cell r="F24">
            <v>1.14</v>
          </cell>
          <cell r="G24">
            <v>35.339999999999996</v>
          </cell>
          <cell r="H24">
            <v>35.339999999999996</v>
          </cell>
          <cell r="K24">
            <v>65.674</v>
          </cell>
        </row>
        <row r="25">
          <cell r="A25" t="str">
            <v> Seed Treatment</v>
          </cell>
          <cell r="D25" t="str">
            <v>gm</v>
          </cell>
          <cell r="E25">
            <v>2.75</v>
          </cell>
          <cell r="F25">
            <v>0.55</v>
          </cell>
          <cell r="G25">
            <v>1.5125000000000002</v>
          </cell>
          <cell r="H25">
            <v>1.5125000000000002</v>
          </cell>
          <cell r="K25">
            <v>45.0325</v>
          </cell>
        </row>
        <row r="26">
          <cell r="K26">
            <v>13.058298442822156</v>
          </cell>
        </row>
        <row r="27">
          <cell r="A27" t="str">
            <v> Fertilizer   #1</v>
          </cell>
          <cell r="C27" t="str">
            <v>11-52-0</v>
          </cell>
          <cell r="D27" t="str">
            <v>kg</v>
          </cell>
          <cell r="E27">
            <v>28</v>
          </cell>
          <cell r="F27">
            <v>0.448</v>
          </cell>
          <cell r="G27">
            <v>12.544</v>
          </cell>
          <cell r="H27">
            <v>12.544</v>
          </cell>
          <cell r="K27">
            <v>0</v>
          </cell>
        </row>
        <row r="28">
          <cell r="A28" t="str">
            <v>              #2</v>
          </cell>
          <cell r="C28" t="str">
            <v>0-0-60</v>
          </cell>
          <cell r="D28" t="str">
            <v>kg</v>
          </cell>
          <cell r="E28">
            <v>32</v>
          </cell>
          <cell r="F28">
            <v>0.24</v>
          </cell>
          <cell r="G28">
            <v>7.68</v>
          </cell>
          <cell r="H28">
            <v>7.68</v>
          </cell>
          <cell r="K28">
            <v>0</v>
          </cell>
        </row>
        <row r="29">
          <cell r="A29" t="str">
            <v>              #3</v>
          </cell>
          <cell r="C29" t="str">
            <v>28-0-0</v>
          </cell>
          <cell r="D29" t="str">
            <v>kg</v>
          </cell>
          <cell r="E29">
            <v>202</v>
          </cell>
          <cell r="F29">
            <v>0.225</v>
          </cell>
          <cell r="G29">
            <v>45.45</v>
          </cell>
          <cell r="H29">
            <v>45.45</v>
          </cell>
        </row>
        <row r="30">
          <cell r="J30" t="str">
            <v>Grip prob factor (component of grip)</v>
          </cell>
          <cell r="K30">
            <v>1.8546857707509892</v>
          </cell>
        </row>
        <row r="31">
          <cell r="D31" t="str">
            <v>Unit/Ac</v>
          </cell>
          <cell r="E31" t="str">
            <v>Number</v>
          </cell>
          <cell r="F31" t="str">
            <v>Cost/Unit</v>
          </cell>
          <cell r="G31" t="str">
            <v>$/Acre</v>
          </cell>
          <cell r="H31" t="str">
            <v>$/Year</v>
          </cell>
          <cell r="J31" t="str">
            <v>C.I. prob factor (component of Crop Insurance)</v>
          </cell>
          <cell r="K31">
            <v>1.2711983695652174</v>
          </cell>
        </row>
        <row r="32">
          <cell r="A32" t="str">
            <v> Herbicide </v>
          </cell>
          <cell r="D32" t="str">
            <v>-------</v>
          </cell>
          <cell r="E32" t="str">
            <v>  ------</v>
          </cell>
          <cell r="F32" t="str">
            <v>-</v>
          </cell>
          <cell r="G32" t="str">
            <v>  -------</v>
          </cell>
          <cell r="H32" t="str">
            <v>  -------</v>
          </cell>
        </row>
        <row r="33">
          <cell r="A33" t="str">
            <v>   Annual Grasses</v>
          </cell>
          <cell r="D33" t="str">
            <v>kg or l</v>
          </cell>
          <cell r="E33">
            <v>1</v>
          </cell>
          <cell r="F33">
            <v>20</v>
          </cell>
          <cell r="G33">
            <v>20</v>
          </cell>
          <cell r="H33">
            <v>20</v>
          </cell>
          <cell r="K33">
            <v>13.05</v>
          </cell>
        </row>
        <row r="34">
          <cell r="A34" t="str">
            <v>   Broadleaf Herbicides</v>
          </cell>
          <cell r="D34" t="str">
            <v>kg or l</v>
          </cell>
          <cell r="E34">
            <v>0.3</v>
          </cell>
          <cell r="F34">
            <v>28</v>
          </cell>
          <cell r="G34">
            <v>8.4</v>
          </cell>
          <cell r="H34">
            <v>8.4</v>
          </cell>
          <cell r="K34">
            <v>13.058298442822156</v>
          </cell>
        </row>
        <row r="35">
          <cell r="A35" t="str">
            <v>   Other Herbicides</v>
          </cell>
          <cell r="D35" t="str">
            <v>kg or l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 Insecticides</v>
          </cell>
          <cell r="D36" t="str">
            <v>kg or l</v>
          </cell>
          <cell r="E36">
            <v>2.8</v>
          </cell>
          <cell r="F36">
            <v>5.4</v>
          </cell>
          <cell r="G36">
            <v>15.12</v>
          </cell>
          <cell r="H36">
            <v>15.12</v>
          </cell>
        </row>
        <row r="37">
          <cell r="A37" t="str">
            <v> Fungicides</v>
          </cell>
          <cell r="D37" t="str">
            <v>kg or l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 Crop Insurance</v>
          </cell>
          <cell r="D38" t="str">
            <v>Insurance</v>
          </cell>
          <cell r="E38">
            <v>1</v>
          </cell>
          <cell r="F38">
            <v>13.05</v>
          </cell>
          <cell r="G38">
            <v>13.05</v>
          </cell>
          <cell r="H38">
            <v>13.05</v>
          </cell>
        </row>
        <row r="39">
          <cell r="A39" t="str">
            <v> Market Revenue Insurance</v>
          </cell>
          <cell r="D39" t="str">
            <v>Insurance</v>
          </cell>
          <cell r="E39">
            <v>1</v>
          </cell>
          <cell r="F39">
            <v>0.008298442822155591</v>
          </cell>
          <cell r="G39">
            <v>0.008298442822155591</v>
          </cell>
          <cell r="H39">
            <v>0.008298442822155591</v>
          </cell>
        </row>
        <row r="40">
          <cell r="A40" t="str">
            <v> Custom Work  #1</v>
          </cell>
          <cell r="C40" t="str">
            <v>Silo fill        </v>
          </cell>
          <cell r="E40">
            <v>0</v>
          </cell>
          <cell r="F40">
            <v>42</v>
          </cell>
          <cell r="G40">
            <v>0</v>
          </cell>
          <cell r="H40">
            <v>0</v>
          </cell>
        </row>
        <row r="41">
          <cell r="A41" t="str">
            <v>              #2</v>
          </cell>
          <cell r="C41" t="str">
            <v>Apply Nitrogen</v>
          </cell>
          <cell r="E41">
            <v>0</v>
          </cell>
          <cell r="F41">
            <v>8</v>
          </cell>
          <cell r="G41">
            <v>0</v>
          </cell>
          <cell r="H41">
            <v>0</v>
          </cell>
        </row>
        <row r="42">
          <cell r="A42" t="str">
            <v> Storage</v>
          </cell>
          <cell r="D42" t="str">
            <v>tonnes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 Trucking</v>
          </cell>
          <cell r="D43" t="str">
            <v>tonnes</v>
          </cell>
          <cell r="E43">
            <v>12.5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 Marketing Fees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 Other</v>
          </cell>
          <cell r="D45" t="str">
            <v> 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9">
          <cell r="K49" t="str">
            <v>Wfarm!L4</v>
          </cell>
        </row>
        <row r="50">
          <cell r="K50" t="str">
            <v>Wfarm!L5</v>
          </cell>
        </row>
        <row r="51">
          <cell r="D51" t="str">
            <v>Typical</v>
          </cell>
          <cell r="E51" t="str">
            <v> Enterprise</v>
          </cell>
          <cell r="K51" t="str">
            <v>Wfarm!L6</v>
          </cell>
        </row>
        <row r="52">
          <cell r="D52" t="str">
            <v> $/Acre</v>
          </cell>
          <cell r="E52" t="str">
            <v> $ Allocated</v>
          </cell>
          <cell r="G52" t="str">
            <v>$/Acre</v>
          </cell>
          <cell r="H52" t="str">
            <v>$/Year</v>
          </cell>
          <cell r="K52" t="str">
            <v>Wfarm!L7</v>
          </cell>
        </row>
        <row r="53">
          <cell r="A53" t="str">
            <v> Fuel</v>
          </cell>
          <cell r="D53">
            <v>20</v>
          </cell>
          <cell r="E53" t="e">
            <v>#REF!</v>
          </cell>
          <cell r="G53" t="e">
            <v>#REF!</v>
          </cell>
          <cell r="H53" t="e">
            <v>#REF!</v>
          </cell>
          <cell r="K53" t="str">
            <v>Wfarm!L8</v>
          </cell>
        </row>
        <row r="54">
          <cell r="A54" t="str">
            <v> Mach. Repair &amp; Maint.</v>
          </cell>
          <cell r="D54">
            <v>20</v>
          </cell>
          <cell r="E54" t="e">
            <v>#REF!</v>
          </cell>
          <cell r="G54" t="e">
            <v>#REF!</v>
          </cell>
          <cell r="H54" t="e">
            <v>#REF!</v>
          </cell>
        </row>
        <row r="55">
          <cell r="A55" t="str">
            <v> Bldg. Repair &amp; Maint.</v>
          </cell>
          <cell r="D55">
            <v>8</v>
          </cell>
          <cell r="E55" t="e">
            <v>#REF!</v>
          </cell>
          <cell r="G55" t="e">
            <v>#REF!</v>
          </cell>
          <cell r="H55" t="e">
            <v>#REF!</v>
          </cell>
        </row>
        <row r="56">
          <cell r="A56" t="str">
            <v> Rent and Labour</v>
          </cell>
          <cell r="D56">
            <v>16</v>
          </cell>
          <cell r="E56" t="e">
            <v>#REF!</v>
          </cell>
          <cell r="G56" t="e">
            <v>#REF!</v>
          </cell>
          <cell r="H56" t="e">
            <v>#REF!</v>
          </cell>
        </row>
        <row r="57">
          <cell r="A57" t="str">
            <v> General Variable Costs</v>
          </cell>
          <cell r="D57">
            <v>15</v>
          </cell>
          <cell r="E57" t="e">
            <v>#REF!</v>
          </cell>
          <cell r="G57" t="e">
            <v>#REF!</v>
          </cell>
          <cell r="H57" t="e">
            <v>#REF!</v>
          </cell>
          <cell r="J57" t="e">
            <v>#REF!</v>
          </cell>
          <cell r="K57" t="str">
            <v>Wfarm!L9</v>
          </cell>
        </row>
        <row r="58">
          <cell r="A58" t="str">
            <v> Interest on</v>
          </cell>
          <cell r="C58" t="str">
            <v>%int</v>
          </cell>
          <cell r="D58" t="str">
            <v>%year</v>
          </cell>
        </row>
        <row r="59">
          <cell r="A59" t="str">
            <v> Operating Capital</v>
          </cell>
          <cell r="C59">
            <v>8</v>
          </cell>
          <cell r="D59">
            <v>40</v>
          </cell>
          <cell r="E59" t="e">
            <v>#REF!</v>
          </cell>
          <cell r="G59" t="e">
            <v>#REF!</v>
          </cell>
          <cell r="H59" t="e">
            <v>#REF!</v>
          </cell>
        </row>
        <row r="60">
          <cell r="G60" t="str">
            <v>  -------</v>
          </cell>
          <cell r="H60" t="str">
            <v>  -------</v>
          </cell>
        </row>
        <row r="61">
          <cell r="A61" t="str">
            <v>Total Variable Costs</v>
          </cell>
          <cell r="G61" t="e">
            <v>#REF!</v>
          </cell>
          <cell r="H61" t="e">
            <v>#REF!</v>
          </cell>
        </row>
        <row r="62">
          <cell r="D62" t="str">
            <v>Typical</v>
          </cell>
          <cell r="E62" t="str">
            <v> Enterprise</v>
          </cell>
        </row>
        <row r="63">
          <cell r="A63" t="str">
            <v>Fixed Costs:</v>
          </cell>
          <cell r="D63" t="str">
            <v> $/Acre</v>
          </cell>
          <cell r="E63" t="str">
            <v> $ Allocated</v>
          </cell>
          <cell r="G63" t="str">
            <v>$/Acre</v>
          </cell>
          <cell r="H63" t="str">
            <v>$/Year</v>
          </cell>
          <cell r="K63" t="str">
            <v>Wfarm!K4</v>
          </cell>
        </row>
        <row r="64">
          <cell r="A64" t="str">
            <v> Depreciation</v>
          </cell>
          <cell r="D64">
            <v>31</v>
          </cell>
          <cell r="E64" t="e">
            <v>#REF!</v>
          </cell>
          <cell r="G64" t="e">
            <v>#REF!</v>
          </cell>
          <cell r="H64" t="e">
            <v>#REF!</v>
          </cell>
          <cell r="K64" t="str">
            <v>Wfarm!K5</v>
          </cell>
        </row>
        <row r="65">
          <cell r="A65" t="str">
            <v> Interest on Term Loans</v>
          </cell>
          <cell r="D65">
            <v>19</v>
          </cell>
          <cell r="E65" t="e">
            <v>#REF!</v>
          </cell>
          <cell r="G65" t="e">
            <v>#REF!</v>
          </cell>
          <cell r="H65" t="e">
            <v>#REF!</v>
          </cell>
          <cell r="K65" t="str">
            <v>Wfarm!K6</v>
          </cell>
        </row>
        <row r="66">
          <cell r="A66" t="str">
            <v> Long-term Leases</v>
          </cell>
          <cell r="D66">
            <v>0</v>
          </cell>
          <cell r="E66" t="e">
            <v>#REF!</v>
          </cell>
          <cell r="G66" t="e">
            <v>#REF!</v>
          </cell>
          <cell r="H66" t="e">
            <v>#REF!</v>
          </cell>
          <cell r="K66" t="str">
            <v>Wfarm!K7</v>
          </cell>
        </row>
        <row r="67">
          <cell r="A67" t="str">
            <v> General Fixed Costs</v>
          </cell>
          <cell r="D67">
            <v>5.5</v>
          </cell>
          <cell r="E67" t="e">
            <v>#REF!</v>
          </cell>
          <cell r="G67" t="e">
            <v>#REF!</v>
          </cell>
          <cell r="H67" t="e">
            <v>#REF!</v>
          </cell>
        </row>
        <row r="68">
          <cell r="G68" t="str">
            <v>  -------</v>
          </cell>
          <cell r="H68" t="str">
            <v>  -------</v>
          </cell>
        </row>
        <row r="69">
          <cell r="A69" t="str">
            <v>Total Fixed Costs</v>
          </cell>
          <cell r="G69" t="e">
            <v>#REF!</v>
          </cell>
          <cell r="H69" t="e">
            <v>#REF!</v>
          </cell>
        </row>
        <row r="70">
          <cell r="A70" t="str">
            <v>=</v>
          </cell>
          <cell r="B70" t="str">
            <v>=</v>
          </cell>
          <cell r="C70" t="str">
            <v>=</v>
          </cell>
          <cell r="D70" t="str">
            <v>=</v>
          </cell>
          <cell r="E70" t="str">
            <v>=</v>
          </cell>
          <cell r="F70" t="str">
            <v>=</v>
          </cell>
          <cell r="G70" t="str">
            <v>=</v>
          </cell>
          <cell r="H70" t="str">
            <v>=</v>
          </cell>
        </row>
        <row r="71">
          <cell r="A71" t="str">
            <v>Revenues:</v>
          </cell>
          <cell r="E71" t="str">
            <v>$/Acre</v>
          </cell>
          <cell r="F71" t="str">
            <v>$/Year</v>
          </cell>
        </row>
        <row r="72">
          <cell r="A72" t="str">
            <v>Total Expected Revenues</v>
          </cell>
          <cell r="E72">
            <v>328.125</v>
          </cell>
          <cell r="F72">
            <v>328.125</v>
          </cell>
        </row>
        <row r="73">
          <cell r="A73" t="str">
            <v>    add: Expected Insurance Revenues</v>
          </cell>
          <cell r="E73">
            <v>7.090262562564263</v>
          </cell>
          <cell r="F73">
            <v>7.090262562564263</v>
          </cell>
        </row>
        <row r="74">
          <cell r="A74" t="str">
            <v>    less: Variable Costs</v>
          </cell>
          <cell r="E74" t="e">
            <v>#REF!</v>
          </cell>
          <cell r="F74" t="e">
            <v>#REF!</v>
          </cell>
        </row>
        <row r="75">
          <cell r="E75" t="str">
            <v>  -------</v>
          </cell>
          <cell r="F75" t="str">
            <v>  -------</v>
          </cell>
        </row>
        <row r="76">
          <cell r="A76" t="str">
            <v>Expected Operating Margin</v>
          </cell>
          <cell r="E76" t="e">
            <v>#REF!</v>
          </cell>
          <cell r="F76" t="e">
            <v>#REF!</v>
          </cell>
        </row>
        <row r="77">
          <cell r="A77" t="str">
            <v>    less: Fixed Costs</v>
          </cell>
          <cell r="E77" t="e">
            <v>#REF!</v>
          </cell>
          <cell r="F77" t="e">
            <v>#REF!</v>
          </cell>
        </row>
        <row r="78">
          <cell r="E78" t="str">
            <v>  -------</v>
          </cell>
          <cell r="F78" t="str">
            <v>  -------</v>
          </cell>
        </row>
        <row r="79">
          <cell r="A79" t="str">
            <v>Expected Net Revenue</v>
          </cell>
          <cell r="E79" t="e">
            <v>#REF!</v>
          </cell>
          <cell r="F79" t="e">
            <v>#REF!</v>
          </cell>
        </row>
        <row r="81">
          <cell r="A81" t="str">
            <v>      Break-even $/tonne to cover:</v>
          </cell>
          <cell r="E81" t="str">
            <v>Variable Costs</v>
          </cell>
          <cell r="G81" t="e">
            <v>#REF!</v>
          </cell>
        </row>
        <row r="82">
          <cell r="E82" t="str">
            <v>Fixed Costs</v>
          </cell>
          <cell r="G82" t="e">
            <v>#REF!</v>
          </cell>
        </row>
        <row r="83">
          <cell r="G83" t="str">
            <v>  -------</v>
          </cell>
        </row>
        <row r="84">
          <cell r="E84" t="str">
            <v>Total Costs</v>
          </cell>
          <cell r="G84" t="e">
            <v>#REF!</v>
          </cell>
        </row>
        <row r="85">
          <cell r="A85" t="str">
            <v>=</v>
          </cell>
          <cell r="B85" t="str">
            <v>=</v>
          </cell>
          <cell r="C85" t="str">
            <v>=</v>
          </cell>
          <cell r="D85" t="str">
            <v>=</v>
          </cell>
          <cell r="E85" t="str">
            <v>=</v>
          </cell>
          <cell r="F85" t="str">
            <v>=</v>
          </cell>
          <cell r="G85" t="str">
            <v>=</v>
          </cell>
          <cell r="H85" t="str">
            <v>=</v>
          </cell>
        </row>
        <row r="86">
          <cell r="B86" t="str">
            <v>Chance of at least breaking even          ==&gt;</v>
          </cell>
          <cell r="G86" t="e">
            <v>#REF!</v>
          </cell>
        </row>
        <row r="87">
          <cell r="B87" t="str">
            <v>Chance of at least</v>
          </cell>
          <cell r="D87">
            <v>0</v>
          </cell>
          <cell r="E87" t="str">
            <v>$/acre return  ==&gt;</v>
          </cell>
          <cell r="G87" t="e">
            <v>#REF!</v>
          </cell>
        </row>
        <row r="88">
          <cell r="B88" t="str">
            <v>Coefficient of variation                  ==&gt;</v>
          </cell>
          <cell r="G88">
            <v>0.30795776127009045</v>
          </cell>
        </row>
        <row r="89">
          <cell r="H89" t="str">
            <v>mn</v>
          </cell>
          <cell r="I89" t="e">
            <v>#REF!</v>
          </cell>
        </row>
        <row r="90">
          <cell r="C90" t="str">
            <v>Returns $/acre</v>
          </cell>
          <cell r="E90" t="str">
            <v>Chances of at least</v>
          </cell>
          <cell r="H90" t="str">
            <v>ystd</v>
          </cell>
          <cell r="I90">
            <v>3.796733</v>
          </cell>
        </row>
        <row r="91">
          <cell r="E91" t="str">
            <v>this return per acre</v>
          </cell>
          <cell r="H91" t="str">
            <v>pstd</v>
          </cell>
          <cell r="I91">
            <v>1.2759857499999994</v>
          </cell>
        </row>
        <row r="92">
          <cell r="H92" t="str">
            <v>nrstd</v>
          </cell>
          <cell r="I92">
            <v>101.04864041674843</v>
          </cell>
        </row>
        <row r="93">
          <cell r="C93" t="e">
            <v>#REF!</v>
          </cell>
          <cell r="E93" t="str">
            <v>       17 %</v>
          </cell>
        </row>
        <row r="94">
          <cell r="C94" t="e">
            <v>#REF!</v>
          </cell>
          <cell r="E94" t="str">
            <v>       33 %</v>
          </cell>
          <cell r="H94" t="str">
            <v>z</v>
          </cell>
          <cell r="I94" t="e">
            <v>#REF!</v>
          </cell>
          <cell r="J94" t="e">
            <v>#REF!</v>
          </cell>
        </row>
        <row r="95">
          <cell r="C95" t="e">
            <v>#REF!</v>
          </cell>
          <cell r="E95" t="str">
            <v>       50 %</v>
          </cell>
          <cell r="H95" t="str">
            <v>v1</v>
          </cell>
          <cell r="I95" t="e">
            <v>#REF!</v>
          </cell>
          <cell r="J95" t="e">
            <v>#REF!</v>
          </cell>
        </row>
        <row r="96">
          <cell r="C96" t="e">
            <v>#REF!</v>
          </cell>
          <cell r="E96" t="str">
            <v>       67 %</v>
          </cell>
          <cell r="H96" t="str">
            <v>v2</v>
          </cell>
          <cell r="I96" t="e">
            <v>#REF!</v>
          </cell>
          <cell r="J96" t="e">
            <v>#REF!</v>
          </cell>
        </row>
        <row r="97">
          <cell r="C97" t="e">
            <v>#REF!</v>
          </cell>
          <cell r="E97" t="str">
            <v>       83 %</v>
          </cell>
          <cell r="H97" t="str">
            <v>p(vx)</v>
          </cell>
          <cell r="I97" t="e">
            <v>#REF!</v>
          </cell>
          <cell r="J97" t="e">
            <v>#REF!</v>
          </cell>
        </row>
        <row r="98">
          <cell r="H98" t="str">
            <v/>
          </cell>
        </row>
        <row r="99">
          <cell r="E99" t="str">
            <v>- End of Budget -</v>
          </cell>
        </row>
        <row r="100">
          <cell r="A100" t="str">
            <v>=</v>
          </cell>
          <cell r="B100" t="str">
            <v>=</v>
          </cell>
          <cell r="C100" t="str">
            <v>=</v>
          </cell>
          <cell r="D100" t="str">
            <v>=</v>
          </cell>
          <cell r="E100" t="str">
            <v>=</v>
          </cell>
          <cell r="F100" t="str">
            <v>=</v>
          </cell>
          <cell r="G100" t="str">
            <v>=</v>
          </cell>
          <cell r="H100" t="str">
            <v>=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urkey"/>
    </sheetNames>
    <sheetDataSet>
      <sheetData sheetId="0">
        <row r="1">
          <cell r="A1" t="str">
            <v>Turkey 1</v>
          </cell>
          <cell r="C1" t="str">
            <v>TURKEY ENTERPRISE BUDGET</v>
          </cell>
          <cell r="G1" t="str">
            <v>Revised: May '98</v>
          </cell>
        </row>
        <row r="2">
          <cell r="A2">
            <v>354</v>
          </cell>
          <cell r="F2" t="str">
            <v>Profit / Kilogram:</v>
          </cell>
          <cell r="H2">
            <v>0</v>
          </cell>
        </row>
        <row r="3">
          <cell r="G3" t="str">
            <v>Revised: July 94</v>
          </cell>
        </row>
        <row r="5">
          <cell r="A5" t="str">
            <v>Basic quota units per year</v>
          </cell>
          <cell r="E5">
            <v>230000</v>
          </cell>
          <cell r="F5" t="str">
            <v>Kgs</v>
          </cell>
        </row>
        <row r="6">
          <cell r="A6" t="str">
            <v>Percentage of Quota Eligible</v>
          </cell>
          <cell r="E6">
            <v>70.25</v>
          </cell>
          <cell r="F6" t="str">
            <v>%</v>
          </cell>
        </row>
        <row r="7">
          <cell r="A7" t="str">
            <v>Required end-weight range</v>
          </cell>
          <cell r="E7">
            <v>9.2</v>
          </cell>
          <cell r="F7" t="str">
            <v>kg </v>
          </cell>
        </row>
        <row r="8">
          <cell r="A8" t="str">
            <v>Calculated total annual production:</v>
          </cell>
          <cell r="E8">
            <v>0</v>
          </cell>
          <cell r="F8" t="str">
            <v>kg </v>
          </cell>
        </row>
        <row r="10">
          <cell r="A10" t="str">
            <v>Number of cycles</v>
          </cell>
          <cell r="E10">
            <v>3</v>
          </cell>
          <cell r="F10" t="str">
            <v>per year</v>
          </cell>
        </row>
        <row r="11">
          <cell r="A11" t="str">
            <v>Weeks per cycle (incl.cleanout)</v>
          </cell>
          <cell r="E11">
            <v>17</v>
          </cell>
          <cell r="F11" t="str">
            <v>weeks/cycle</v>
          </cell>
        </row>
        <row r="12">
          <cell r="A12" t="str">
            <v>Total number weeks/year (max.54)</v>
          </cell>
          <cell r="E12">
            <v>0</v>
          </cell>
          <cell r="F12" t="str">
            <v>weeks/year</v>
          </cell>
        </row>
        <row r="13">
          <cell r="A13" t="str">
            <v>Total birds marketed</v>
          </cell>
          <cell r="E13">
            <v>0</v>
          </cell>
        </row>
        <row r="14">
          <cell r="K14">
            <v>0</v>
          </cell>
        </row>
        <row r="15">
          <cell r="A15" t="str">
            <v>&lt;&lt;Weight Range Info &gt;&gt;</v>
          </cell>
          <cell r="E15" t="str">
            <v>&lt;&lt; Quota Eligibility &gt;&gt;</v>
          </cell>
          <cell r="K15">
            <v>0</v>
          </cell>
        </row>
        <row r="16">
          <cell r="A16" t="str">
            <v>Broilers</v>
          </cell>
          <cell r="B16" t="str">
            <v>less than 6.2</v>
          </cell>
          <cell r="E16" t="str">
            <v>Broilers</v>
          </cell>
          <cell r="F16">
            <v>70.25</v>
          </cell>
          <cell r="K16">
            <v>0</v>
          </cell>
        </row>
        <row r="17">
          <cell r="A17" t="str">
            <v>Hens</v>
          </cell>
          <cell r="B17" t="str">
            <v>6.3 kgs to 9.8 kgs</v>
          </cell>
          <cell r="E17" t="str">
            <v>Hens</v>
          </cell>
          <cell r="F17">
            <v>70.25</v>
          </cell>
          <cell r="K17">
            <v>0</v>
          </cell>
        </row>
        <row r="18">
          <cell r="A18" t="str">
            <v>Toms</v>
          </cell>
          <cell r="B18" t="str">
            <v>greater than 9.9 kgs</v>
          </cell>
          <cell r="E18" t="str">
            <v>Toms</v>
          </cell>
          <cell r="F18">
            <v>76.5</v>
          </cell>
          <cell r="K18">
            <v>0</v>
          </cell>
        </row>
        <row r="20">
          <cell r="K20" t="str">
            <v>Tran!D3..G14</v>
          </cell>
        </row>
        <row r="21">
          <cell r="E21" t="str">
            <v>Opt.</v>
          </cell>
          <cell r="F21" t="str">
            <v> Expected</v>
          </cell>
          <cell r="G21" t="str">
            <v>   Pess.</v>
          </cell>
          <cell r="K21" t="str">
            <v>Allo!C3..J14</v>
          </cell>
        </row>
        <row r="22">
          <cell r="A22" t="str">
            <v>Poult cost ($'s ea.)</v>
          </cell>
          <cell r="E22">
            <v>1.35</v>
          </cell>
          <cell r="F22">
            <v>1.45</v>
          </cell>
          <cell r="G22">
            <v>1.55</v>
          </cell>
          <cell r="K22">
            <v>0</v>
          </cell>
        </row>
        <row r="23">
          <cell r="A23" t="str">
            <v>Turkey Price ($'s/kg.)</v>
          </cell>
          <cell r="E23">
            <v>1.6</v>
          </cell>
          <cell r="F23">
            <v>1.52</v>
          </cell>
          <cell r="G23">
            <v>1.45</v>
          </cell>
          <cell r="K23">
            <v>0</v>
          </cell>
        </row>
        <row r="24">
          <cell r="A24" t="str">
            <v>Death loss (including # condemned) %</v>
          </cell>
          <cell r="E24">
            <v>4</v>
          </cell>
          <cell r="F24">
            <v>8</v>
          </cell>
          <cell r="G24">
            <v>12</v>
          </cell>
          <cell r="K24">
            <v>0</v>
          </cell>
        </row>
        <row r="25">
          <cell r="A25" t="str">
            <v>Feed conversion rate</v>
          </cell>
          <cell r="E25">
            <v>2</v>
          </cell>
          <cell r="F25">
            <v>2.3</v>
          </cell>
          <cell r="G25">
            <v>2.5</v>
          </cell>
          <cell r="K25">
            <v>0</v>
          </cell>
        </row>
        <row r="26">
          <cell r="A26" t="str">
            <v>Purchased feed price ($'s per tonne)</v>
          </cell>
          <cell r="E26">
            <v>280</v>
          </cell>
          <cell r="F26">
            <v>300</v>
          </cell>
          <cell r="G26">
            <v>320</v>
          </cell>
          <cell r="K26">
            <v>0</v>
          </cell>
        </row>
        <row r="27">
          <cell r="A27" t="str">
            <v>Poults</v>
          </cell>
          <cell r="B27" t="str">
            <v>Required</v>
          </cell>
          <cell r="F27">
            <v>0</v>
          </cell>
          <cell r="K27">
            <v>0</v>
          </cell>
        </row>
        <row r="28">
          <cell r="B28" t="str">
            <v>% extra from Hatchery</v>
          </cell>
          <cell r="E28">
            <v>2</v>
          </cell>
          <cell r="F28">
            <v>0</v>
          </cell>
          <cell r="K28">
            <v>0</v>
          </cell>
        </row>
        <row r="29">
          <cell r="B29" t="str">
            <v>Purchased</v>
          </cell>
          <cell r="F29">
            <v>0</v>
          </cell>
        </row>
        <row r="30">
          <cell r="A30" t="str">
            <v>EXPENSES</v>
          </cell>
        </row>
        <row r="31">
          <cell r="A31" t="str">
            <v> Variable Costs:</v>
          </cell>
          <cell r="F31" t="str">
            <v>$/kg</v>
          </cell>
          <cell r="G31" t="str">
            <v> $/Cycle:</v>
          </cell>
          <cell r="H31" t="str">
            <v> $/Year:</v>
          </cell>
        </row>
        <row r="32">
          <cell r="A32" t="str">
            <v> Feed costs:</v>
          </cell>
        </row>
        <row r="33">
          <cell r="A33" t="str">
            <v>  Purchased feed</v>
          </cell>
          <cell r="C33">
            <v>0</v>
          </cell>
          <cell r="D33" t="str">
            <v>($'s per tonne)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    kilograms/bird</v>
          </cell>
          <cell r="C34">
            <v>0</v>
          </cell>
          <cell r="D34" t="str">
            <v>(computed)</v>
          </cell>
        </row>
        <row r="35">
          <cell r="A35" t="str">
            <v>    tonnes/cycle</v>
          </cell>
          <cell r="C35">
            <v>0</v>
          </cell>
          <cell r="D35" t="str">
            <v>(computed)</v>
          </cell>
        </row>
        <row r="36">
          <cell r="A36" t="str">
            <v>    tonnes/year</v>
          </cell>
          <cell r="C36">
            <v>0</v>
          </cell>
          <cell r="D36" t="str">
            <v>(computed)</v>
          </cell>
        </row>
        <row r="37">
          <cell r="A37" t="str">
            <v>  Other#1</v>
          </cell>
          <cell r="C37">
            <v>0</v>
          </cell>
          <cell r="D37" t="str">
            <v>(cost per cycle)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  Other#2</v>
          </cell>
          <cell r="C38">
            <v>0</v>
          </cell>
          <cell r="D38" t="str">
            <v>(cost per cycle)</v>
          </cell>
          <cell r="F38">
            <v>0</v>
          </cell>
          <cell r="G38">
            <v>0</v>
          </cell>
          <cell r="H38">
            <v>0</v>
          </cell>
        </row>
        <row r="40">
          <cell r="A40" t="str">
            <v>  Homegrown Feed *</v>
          </cell>
        </row>
        <row r="41">
          <cell r="A41" t="str">
            <v>    Crop Transfers    (from Transfer Table)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  ------</v>
          </cell>
          <cell r="F42" t="str">
            <v>$/kg</v>
          </cell>
          <cell r="G42" t="str">
            <v> $/Cycle:</v>
          </cell>
          <cell r="H42" t="str">
            <v> $/Year:</v>
          </cell>
        </row>
        <row r="43">
          <cell r="A43" t="str">
            <v> Total Feed Costs</v>
          </cell>
          <cell r="F43">
            <v>0</v>
          </cell>
          <cell r="G43">
            <v>0</v>
          </cell>
          <cell r="H43">
            <v>0</v>
          </cell>
        </row>
        <row r="45">
          <cell r="B45" t="str">
            <v>  * (be careful not to include crop costs which</v>
          </cell>
        </row>
        <row r="46">
          <cell r="B46" t="str">
            <v>     have already been entered in the transfer table.)</v>
          </cell>
        </row>
        <row r="48">
          <cell r="A48" t="str">
            <v> Expected Yearly Poult Purchases (in dollars)</v>
          </cell>
          <cell r="G48">
            <v>0</v>
          </cell>
          <cell r="H48">
            <v>0</v>
          </cell>
        </row>
        <row r="51">
          <cell r="D51" t="str">
            <v> Unit</v>
          </cell>
          <cell r="E51" t="str">
            <v>Number</v>
          </cell>
          <cell r="F51" t="str">
            <v>$/Unit</v>
          </cell>
          <cell r="G51" t="str">
            <v>  $/Cycle:</v>
          </cell>
          <cell r="H51" t="str">
            <v>   $/Year</v>
          </cell>
        </row>
        <row r="52">
          <cell r="A52" t="str">
            <v> Hired Labour</v>
          </cell>
          <cell r="D52" t="str">
            <v>hrs</v>
          </cell>
          <cell r="E52">
            <v>0</v>
          </cell>
          <cell r="F52">
            <v>7.75</v>
          </cell>
          <cell r="G52">
            <v>0</v>
          </cell>
          <cell r="H52">
            <v>0</v>
          </cell>
        </row>
        <row r="53">
          <cell r="A53" t="str">
            <v> Catching</v>
          </cell>
          <cell r="D53" t="str">
            <v>kg</v>
          </cell>
          <cell r="E53">
            <v>0</v>
          </cell>
          <cell r="F53">
            <v>0.0094</v>
          </cell>
          <cell r="G53">
            <v>0</v>
          </cell>
          <cell r="H53">
            <v>0</v>
          </cell>
        </row>
        <row r="54">
          <cell r="A54" t="str">
            <v> Veterinary &amp; Medicine</v>
          </cell>
          <cell r="D54" t="str">
            <v>kg</v>
          </cell>
          <cell r="E54">
            <v>0</v>
          </cell>
          <cell r="F54">
            <v>0.01</v>
          </cell>
          <cell r="G54">
            <v>0</v>
          </cell>
          <cell r="H54">
            <v>0</v>
          </cell>
        </row>
        <row r="55">
          <cell r="A55" t="str">
            <v> Bedding</v>
          </cell>
          <cell r="D55" t="str">
            <v>kg</v>
          </cell>
          <cell r="E55">
            <v>0</v>
          </cell>
          <cell r="F55">
            <v>0.02</v>
          </cell>
          <cell r="G55">
            <v>0</v>
          </cell>
          <cell r="H55">
            <v>0</v>
          </cell>
        </row>
        <row r="56">
          <cell r="A56" t="str">
            <v> Levies - Ontario</v>
          </cell>
          <cell r="D56" t="str">
            <v>kg</v>
          </cell>
          <cell r="E56">
            <v>0</v>
          </cell>
          <cell r="F56">
            <v>0.011</v>
          </cell>
          <cell r="G56">
            <v>0</v>
          </cell>
          <cell r="H56">
            <v>0</v>
          </cell>
        </row>
        <row r="57">
          <cell r="A57" t="str">
            <v> Levies - CTMA</v>
          </cell>
          <cell r="D57" t="str">
            <v>kg</v>
          </cell>
          <cell r="E57">
            <v>0</v>
          </cell>
          <cell r="F57">
            <v>0.013</v>
          </cell>
          <cell r="G57">
            <v>0</v>
          </cell>
          <cell r="H57">
            <v>0</v>
          </cell>
          <cell r="K57" t="str">
            <v>Wfarm!L4</v>
          </cell>
        </row>
        <row r="58">
          <cell r="A58" t="str">
            <v> Transportation</v>
          </cell>
          <cell r="D58" t="str">
            <v>kg</v>
          </cell>
          <cell r="E58">
            <v>0</v>
          </cell>
          <cell r="F58">
            <v>0.009</v>
          </cell>
          <cell r="G58">
            <v>0</v>
          </cell>
          <cell r="H58">
            <v>0</v>
          </cell>
          <cell r="K58" t="str">
            <v>Wfarm!L5</v>
          </cell>
        </row>
        <row r="59">
          <cell r="A59" t="str">
            <v> Heat</v>
          </cell>
          <cell r="D59" t="str">
            <v>kg</v>
          </cell>
          <cell r="E59">
            <v>0</v>
          </cell>
          <cell r="F59">
            <v>0.05</v>
          </cell>
          <cell r="G59">
            <v>0</v>
          </cell>
          <cell r="H59">
            <v>0</v>
          </cell>
          <cell r="K59" t="str">
            <v>Wfarm!L6</v>
          </cell>
        </row>
        <row r="60">
          <cell r="A60" t="str">
            <v> Custom Work</v>
          </cell>
          <cell r="D60" t="str">
            <v>$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 t="str">
            <v>Wfarm!L7</v>
          </cell>
        </row>
        <row r="61">
          <cell r="A61" t="str">
            <v> Insurance</v>
          </cell>
          <cell r="D61" t="str">
            <v>kg</v>
          </cell>
          <cell r="E61">
            <v>0</v>
          </cell>
          <cell r="F61">
            <v>0.01</v>
          </cell>
          <cell r="G61">
            <v>0</v>
          </cell>
          <cell r="H61">
            <v>0</v>
          </cell>
          <cell r="K61" t="str">
            <v>Wfarm!L8</v>
          </cell>
        </row>
        <row r="62">
          <cell r="A62" t="str">
            <v> Miscellaneous </v>
          </cell>
          <cell r="D62" t="str">
            <v>$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</row>
        <row r="64">
          <cell r="D64" t="str">
            <v>Typical</v>
          </cell>
          <cell r="E64" t="str">
            <v> Enterprise</v>
          </cell>
          <cell r="J64">
            <v>0</v>
          </cell>
          <cell r="K64" t="str">
            <v>Wfarm!L9</v>
          </cell>
        </row>
        <row r="65">
          <cell r="C65" t="str">
            <v>       $/kg</v>
          </cell>
          <cell r="E65" t="str">
            <v> $ Allocated:</v>
          </cell>
          <cell r="G65" t="str">
            <v>  $/Cycle:</v>
          </cell>
          <cell r="H65" t="str">
            <v>   $/Year</v>
          </cell>
        </row>
        <row r="66">
          <cell r="A66" t="str">
            <v> Fuel</v>
          </cell>
          <cell r="D66">
            <v>0.008</v>
          </cell>
          <cell r="E66">
            <v>0</v>
          </cell>
          <cell r="G66">
            <v>0</v>
          </cell>
          <cell r="H66">
            <v>0</v>
          </cell>
        </row>
        <row r="67">
          <cell r="A67" t="str">
            <v> Mach. Repair &amp; Maint.</v>
          </cell>
          <cell r="D67">
            <v>0.03</v>
          </cell>
          <cell r="E67">
            <v>0</v>
          </cell>
          <cell r="G67">
            <v>0</v>
          </cell>
          <cell r="H67">
            <v>0</v>
          </cell>
        </row>
        <row r="68">
          <cell r="A68" t="str">
            <v> Bldg. Repair &amp; Maint.</v>
          </cell>
          <cell r="D68">
            <v>0.02</v>
          </cell>
          <cell r="E68">
            <v>0</v>
          </cell>
          <cell r="G68">
            <v>0</v>
          </cell>
          <cell r="H68">
            <v>0</v>
          </cell>
        </row>
        <row r="69">
          <cell r="A69" t="str">
            <v> Rent and Labour</v>
          </cell>
          <cell r="D69">
            <v>0.008</v>
          </cell>
          <cell r="E69">
            <v>0</v>
          </cell>
          <cell r="G69">
            <v>0</v>
          </cell>
          <cell r="H69">
            <v>0</v>
          </cell>
        </row>
        <row r="70">
          <cell r="A70" t="str">
            <v> General Variable Costs</v>
          </cell>
          <cell r="D70">
            <v>0.008</v>
          </cell>
          <cell r="E70">
            <v>0</v>
          </cell>
          <cell r="G70">
            <v>0</v>
          </cell>
          <cell r="H70">
            <v>0</v>
          </cell>
        </row>
        <row r="72">
          <cell r="A72" t="str">
            <v>Interest on</v>
          </cell>
          <cell r="C72" t="str">
            <v>% Int.</v>
          </cell>
          <cell r="D72" t="str">
            <v>% Year</v>
          </cell>
          <cell r="K72" t="str">
            <v>Wfarm!K4</v>
          </cell>
        </row>
        <row r="73">
          <cell r="A73" t="str">
            <v>Operating Capital</v>
          </cell>
          <cell r="C73">
            <v>10</v>
          </cell>
          <cell r="D73">
            <v>50</v>
          </cell>
          <cell r="E73">
            <v>0</v>
          </cell>
          <cell r="G73">
            <v>0</v>
          </cell>
          <cell r="H73">
            <v>0</v>
          </cell>
          <cell r="K73" t="str">
            <v>Wfarm!K5</v>
          </cell>
        </row>
        <row r="74">
          <cell r="K74" t="str">
            <v>Wfarm!K6</v>
          </cell>
        </row>
        <row r="75">
          <cell r="A75" t="str">
            <v>Total Variable Costs</v>
          </cell>
          <cell r="D75">
            <v>0</v>
          </cell>
          <cell r="G75">
            <v>0</v>
          </cell>
          <cell r="H75">
            <v>0</v>
          </cell>
          <cell r="K75" t="str">
            <v>Wfarm!K7</v>
          </cell>
        </row>
        <row r="77">
          <cell r="D77" t="str">
            <v>Typical</v>
          </cell>
          <cell r="E77" t="str">
            <v> Enterprise</v>
          </cell>
        </row>
        <row r="78">
          <cell r="A78" t="str">
            <v>Fixed Costs:</v>
          </cell>
          <cell r="D78" t="str">
            <v>$/kg</v>
          </cell>
          <cell r="E78" t="str">
            <v> $ Allocated:</v>
          </cell>
          <cell r="G78" t="str">
            <v>  $/Cycle:</v>
          </cell>
          <cell r="H78" t="str">
            <v>   $/Year</v>
          </cell>
        </row>
        <row r="79">
          <cell r="A79" t="str">
            <v> Depreciation</v>
          </cell>
          <cell r="D79">
            <v>0.08</v>
          </cell>
          <cell r="E79">
            <v>0</v>
          </cell>
          <cell r="G79">
            <v>0</v>
          </cell>
          <cell r="H79">
            <v>0</v>
          </cell>
        </row>
        <row r="80">
          <cell r="A80" t="str">
            <v> Interest on Term Loans</v>
          </cell>
          <cell r="D80">
            <v>0.04</v>
          </cell>
          <cell r="E80">
            <v>0</v>
          </cell>
          <cell r="G80">
            <v>0</v>
          </cell>
          <cell r="H80">
            <v>0</v>
          </cell>
        </row>
        <row r="81">
          <cell r="A81" t="str">
            <v> Long-term Leases</v>
          </cell>
          <cell r="D81">
            <v>0.01</v>
          </cell>
          <cell r="E81">
            <v>0</v>
          </cell>
          <cell r="G81">
            <v>0</v>
          </cell>
          <cell r="H81">
            <v>0</v>
          </cell>
        </row>
        <row r="82">
          <cell r="A82" t="str">
            <v> General Fixed Costs</v>
          </cell>
          <cell r="D82">
            <v>0.02</v>
          </cell>
          <cell r="E82">
            <v>0</v>
          </cell>
          <cell r="G82">
            <v>0</v>
          </cell>
          <cell r="H82">
            <v>0</v>
          </cell>
        </row>
        <row r="84">
          <cell r="A84" t="str">
            <v>Total Fixed Costs</v>
          </cell>
          <cell r="D84">
            <v>0</v>
          </cell>
          <cell r="G84">
            <v>0</v>
          </cell>
          <cell r="H84">
            <v>0</v>
          </cell>
        </row>
        <row r="87">
          <cell r="A87" t="str">
            <v>Revenues:</v>
          </cell>
          <cell r="E87" t="str">
            <v>$/kg.</v>
          </cell>
          <cell r="F87" t="str">
            <v>$/Cycle</v>
          </cell>
          <cell r="G87" t="str">
            <v>$/Year</v>
          </cell>
        </row>
        <row r="88">
          <cell r="A88" t="str">
            <v>Total Expected Revenues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    less: Feed and Chick Costs</v>
          </cell>
          <cell r="E89">
            <v>0</v>
          </cell>
          <cell r="F89">
            <v>0</v>
          </cell>
          <cell r="G89">
            <v>0</v>
          </cell>
        </row>
        <row r="91">
          <cell r="A91" t="str">
            <v>NET of FEED &amp; CHICK Costs: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    less: Remaining Variable Costs</v>
          </cell>
          <cell r="E92">
            <v>0</v>
          </cell>
          <cell r="F92">
            <v>0</v>
          </cell>
          <cell r="G92">
            <v>0</v>
          </cell>
        </row>
        <row r="94">
          <cell r="A94" t="str">
            <v>Expected Operating Margin</v>
          </cell>
          <cell r="E94">
            <v>0</v>
          </cell>
          <cell r="F94">
            <v>0</v>
          </cell>
          <cell r="G94">
            <v>0</v>
          </cell>
        </row>
        <row r="95">
          <cell r="A95" t="str">
            <v>    less: Fixed Costs</v>
          </cell>
          <cell r="E95">
            <v>0</v>
          </cell>
          <cell r="F95">
            <v>0</v>
          </cell>
          <cell r="G95">
            <v>0</v>
          </cell>
        </row>
        <row r="97">
          <cell r="A97" t="str">
            <v>Expected Net Revenue</v>
          </cell>
          <cell r="E97">
            <v>0</v>
          </cell>
          <cell r="F97">
            <v>0</v>
          </cell>
          <cell r="G97">
            <v>0</v>
          </cell>
        </row>
        <row r="101">
          <cell r="A101" t="str">
            <v>Expected break-even dollars per kilogram</v>
          </cell>
        </row>
        <row r="102">
          <cell r="A102" t="str">
            <v>for birds sold; needed to cover:</v>
          </cell>
          <cell r="E102" t="str">
            <v>Variable Costs</v>
          </cell>
          <cell r="G102">
            <v>0</v>
          </cell>
        </row>
        <row r="103">
          <cell r="E103" t="str">
            <v>Fixed Costs</v>
          </cell>
          <cell r="G103">
            <v>0</v>
          </cell>
        </row>
        <row r="105">
          <cell r="E105" t="str">
            <v>Total Costs</v>
          </cell>
          <cell r="G105">
            <v>0</v>
          </cell>
        </row>
        <row r="106">
          <cell r="A106" t="str">
            <v>=</v>
          </cell>
          <cell r="B106" t="str">
            <v>=</v>
          </cell>
          <cell r="C106" t="str">
            <v>=</v>
          </cell>
          <cell r="D106" t="str">
            <v>=</v>
          </cell>
          <cell r="E106" t="str">
            <v>=</v>
          </cell>
          <cell r="F106" t="str">
            <v>=</v>
          </cell>
          <cell r="G106" t="str">
            <v>=</v>
          </cell>
          <cell r="H106" t="str">
            <v>=</v>
          </cell>
        </row>
        <row r="107">
          <cell r="H107" t="str">
            <v>StdPf</v>
          </cell>
          <cell r="I107">
            <v>0</v>
          </cell>
          <cell r="J107" t="str">
            <v> +profit</v>
          </cell>
        </row>
        <row r="108">
          <cell r="B108" t="str">
            <v>Chance of at least breaking even       ==&gt;</v>
          </cell>
          <cell r="G108">
            <v>0</v>
          </cell>
          <cell r="H108" t="str">
            <v>StdQf</v>
          </cell>
          <cell r="I108">
            <v>0</v>
          </cell>
          <cell r="J108">
            <v>0</v>
          </cell>
        </row>
        <row r="109">
          <cell r="B109" t="str">
            <v>Chance of at least</v>
          </cell>
          <cell r="D109">
            <v>0</v>
          </cell>
          <cell r="E109" t="str">
            <v>$/cycle retn==&gt;</v>
          </cell>
          <cell r="G109">
            <v>0</v>
          </cell>
          <cell r="H109" t="str">
            <v>StdPe</v>
          </cell>
          <cell r="I109">
            <v>0</v>
          </cell>
          <cell r="J109">
            <v>0</v>
          </cell>
        </row>
        <row r="110">
          <cell r="B110" t="str">
            <v>Coefficient of variation               ==&gt;</v>
          </cell>
          <cell r="G110">
            <v>0</v>
          </cell>
          <cell r="H110" t="str">
            <v>StdQe</v>
          </cell>
          <cell r="I110">
            <v>0</v>
          </cell>
          <cell r="J110">
            <v>0</v>
          </cell>
        </row>
        <row r="111">
          <cell r="H111" t="str">
            <v>Var(PeQe)</v>
          </cell>
          <cell r="I111">
            <v>0</v>
          </cell>
          <cell r="J111">
            <v>0</v>
          </cell>
        </row>
        <row r="112">
          <cell r="C112" t="str">
            <v>      Returns</v>
          </cell>
          <cell r="E112" t="str">
            <v>        Chances of at least</v>
          </cell>
          <cell r="H112" t="str">
            <v>Var(PbQb)</v>
          </cell>
          <cell r="I112">
            <v>0</v>
          </cell>
        </row>
        <row r="113">
          <cell r="C113" t="str">
            <v>$/kg</v>
          </cell>
          <cell r="D113" t="str">
            <v>$/cycle</v>
          </cell>
          <cell r="F113" t="str">
            <v>this return per kg</v>
          </cell>
          <cell r="H113" t="str">
            <v>Var(PfQf)</v>
          </cell>
          <cell r="I113">
            <v>0</v>
          </cell>
        </row>
        <row r="114">
          <cell r="H114" t="str">
            <v>SumStd</v>
          </cell>
          <cell r="I114">
            <v>0</v>
          </cell>
        </row>
        <row r="115">
          <cell r="C115">
            <v>0</v>
          </cell>
          <cell r="D115">
            <v>0</v>
          </cell>
          <cell r="F115" t="str">
            <v>       17 %</v>
          </cell>
          <cell r="H115" t="str">
            <v>KgStd</v>
          </cell>
          <cell r="I115">
            <v>0</v>
          </cell>
        </row>
        <row r="116">
          <cell r="C116">
            <v>0</v>
          </cell>
          <cell r="D116">
            <v>0</v>
          </cell>
          <cell r="F116" t="str">
            <v>       33 %</v>
          </cell>
          <cell r="H116" t="str">
            <v>CycleStd</v>
          </cell>
          <cell r="I116">
            <v>0</v>
          </cell>
        </row>
        <row r="117">
          <cell r="C117">
            <v>0</v>
          </cell>
          <cell r="D117">
            <v>0</v>
          </cell>
          <cell r="F117" t="str">
            <v>       50 %</v>
          </cell>
          <cell r="I117" t="str">
            <v> +b.e.</v>
          </cell>
        </row>
        <row r="118">
          <cell r="C118">
            <v>0</v>
          </cell>
          <cell r="D118">
            <v>0</v>
          </cell>
          <cell r="F118" t="str">
            <v>       67 %</v>
          </cell>
          <cell r="H118" t="str">
            <v>z</v>
          </cell>
          <cell r="I118">
            <v>0</v>
          </cell>
        </row>
        <row r="119">
          <cell r="C119">
            <v>0</v>
          </cell>
          <cell r="D119">
            <v>0</v>
          </cell>
          <cell r="F119" t="str">
            <v>       83 %</v>
          </cell>
          <cell r="H119" t="str">
            <v>v1</v>
          </cell>
          <cell r="I119">
            <v>0</v>
          </cell>
        </row>
        <row r="120">
          <cell r="H120" t="str">
            <v>v2</v>
          </cell>
          <cell r="I120">
            <v>0</v>
          </cell>
        </row>
        <row r="121">
          <cell r="D121" t="str">
            <v> - End of Budget -</v>
          </cell>
          <cell r="H121" t="str">
            <v>p(vx)</v>
          </cell>
          <cell r="I121">
            <v>0</v>
          </cell>
        </row>
        <row r="122">
          <cell r="A122" t="str">
            <v>=</v>
          </cell>
          <cell r="B122" t="str">
            <v>=</v>
          </cell>
          <cell r="C122" t="str">
            <v>=</v>
          </cell>
          <cell r="D122" t="str">
            <v>=</v>
          </cell>
          <cell r="E122" t="str">
            <v>=</v>
          </cell>
          <cell r="F122" t="str">
            <v>=</v>
          </cell>
          <cell r="G122" t="str">
            <v>=</v>
          </cell>
          <cell r="H122" t="str">
            <v>=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ULLET"/>
      <sheetName val="TOBACCO"/>
    </sheetNames>
    <sheetDataSet>
      <sheetData sheetId="0">
        <row r="1">
          <cell r="A1" t="str">
            <v>Pullet 1</v>
          </cell>
          <cell r="C1" t="str">
            <v>PULLET ENTERPRISE BUDGET</v>
          </cell>
          <cell r="G1" t="str">
            <v>Revised: May '98</v>
          </cell>
        </row>
        <row r="2">
          <cell r="A2">
            <v>353</v>
          </cell>
          <cell r="F2" t="str">
            <v>Profit / Pullet:</v>
          </cell>
          <cell r="H2" t="e">
            <v>#REF!</v>
          </cell>
        </row>
        <row r="4">
          <cell r="A4" t="str">
            <v>=</v>
          </cell>
          <cell r="B4" t="str">
            <v>=</v>
          </cell>
          <cell r="C4" t="str">
            <v>=</v>
          </cell>
          <cell r="D4" t="str">
            <v>=</v>
          </cell>
          <cell r="E4" t="str">
            <v>=</v>
          </cell>
          <cell r="F4" t="str">
            <v>=</v>
          </cell>
          <cell r="G4" t="str">
            <v>=</v>
          </cell>
          <cell r="H4" t="str">
            <v>=</v>
          </cell>
        </row>
        <row r="5">
          <cell r="A5" t="str">
            <v>Basic quota units per cycle</v>
          </cell>
          <cell r="E5">
            <v>15000</v>
          </cell>
          <cell r="F5" t="str">
            <v>Units</v>
          </cell>
        </row>
        <row r="6">
          <cell r="A6" t="str">
            <v>Additional quota units per cycle</v>
          </cell>
          <cell r="E6">
            <v>0</v>
          </cell>
          <cell r="F6" t="str">
            <v>Units</v>
          </cell>
        </row>
        <row r="7">
          <cell r="A7" t="str">
            <v>Number of quota cycles per year</v>
          </cell>
          <cell r="E7">
            <v>2</v>
          </cell>
          <cell r="F7" t="str">
            <v>cycles</v>
          </cell>
        </row>
        <row r="8">
          <cell r="A8" t="str">
            <v>Calculated total annual production:</v>
          </cell>
          <cell r="E8">
            <v>30000</v>
          </cell>
          <cell r="F8" t="str">
            <v>pul.(Allowed by Allocation)</v>
          </cell>
        </row>
        <row r="9">
          <cell r="A9" t="str">
            <v>Weeks per cycle (growing period)</v>
          </cell>
          <cell r="E9">
            <v>19</v>
          </cell>
          <cell r="F9" t="str">
            <v>weeks/cycle</v>
          </cell>
        </row>
        <row r="11">
          <cell r="E11" t="str">
            <v>Optimistic</v>
          </cell>
          <cell r="F11" t="str">
            <v> Expected</v>
          </cell>
          <cell r="G11" t="str">
            <v>   Pessimistic</v>
          </cell>
        </row>
        <row r="12">
          <cell r="E12" t="str">
            <v>-</v>
          </cell>
          <cell r="F12" t="str">
            <v>-</v>
          </cell>
          <cell r="G12" t="str">
            <v>-</v>
          </cell>
          <cell r="H12" t="str">
            <v>-----</v>
          </cell>
        </row>
        <row r="13">
          <cell r="A13" t="str">
            <v>Placement chicks cost ($'s/chick)</v>
          </cell>
          <cell r="E13">
            <v>1.28</v>
          </cell>
          <cell r="F13">
            <v>1.3</v>
          </cell>
          <cell r="G13">
            <v>1.34</v>
          </cell>
        </row>
        <row r="14">
          <cell r="A14" t="str">
            <v>Pullet Price ($'s/Pullet)</v>
          </cell>
          <cell r="E14">
            <v>4.55</v>
          </cell>
          <cell r="F14">
            <v>4.5</v>
          </cell>
          <cell r="G14">
            <v>4.4</v>
          </cell>
          <cell r="K14">
            <v>0</v>
          </cell>
        </row>
        <row r="15">
          <cell r="A15" t="str">
            <v>Death loss (%)</v>
          </cell>
          <cell r="E15">
            <v>1.8</v>
          </cell>
          <cell r="F15">
            <v>2</v>
          </cell>
          <cell r="G15">
            <v>2.5</v>
          </cell>
          <cell r="K15" t="e">
            <v>#REF!</v>
          </cell>
        </row>
        <row r="16">
          <cell r="A16" t="str">
            <v>Feed Consumption (total kg's consumed/feed stage/pullet)</v>
          </cell>
          <cell r="K16" t="e">
            <v>#REF!</v>
          </cell>
        </row>
        <row r="17">
          <cell r="B17" t="str">
            <v>Stage 1 (0-6wks)</v>
          </cell>
          <cell r="E17">
            <v>1</v>
          </cell>
          <cell r="F17">
            <v>1.05</v>
          </cell>
          <cell r="G17">
            <v>1.12</v>
          </cell>
          <cell r="K17">
            <v>135000</v>
          </cell>
        </row>
        <row r="18">
          <cell r="B18" t="str">
            <v>Stage 2 (6-12wks)</v>
          </cell>
          <cell r="E18">
            <v>2.28</v>
          </cell>
          <cell r="F18">
            <v>2.32</v>
          </cell>
          <cell r="G18">
            <v>2.5</v>
          </cell>
          <cell r="K18">
            <v>0</v>
          </cell>
        </row>
        <row r="19">
          <cell r="B19" t="str">
            <v>Stage 3 (12-17wks)</v>
          </cell>
          <cell r="E19">
            <v>2</v>
          </cell>
          <cell r="F19">
            <v>2.1</v>
          </cell>
          <cell r="G19">
            <v>2.21</v>
          </cell>
        </row>
        <row r="20">
          <cell r="B20" t="str">
            <v>Stage 4 (17-19wks)</v>
          </cell>
          <cell r="E20">
            <v>0.98</v>
          </cell>
          <cell r="F20">
            <v>1</v>
          </cell>
          <cell r="G20">
            <v>1.1</v>
          </cell>
          <cell r="K20" t="str">
            <v>Tran!D3..G14</v>
          </cell>
        </row>
        <row r="21">
          <cell r="A21" t="str">
            <v>Purchased feed price ($'s per tonne)</v>
          </cell>
          <cell r="K21" t="str">
            <v>Allo!C3..J14</v>
          </cell>
        </row>
        <row r="22">
          <cell r="B22" t="str">
            <v>Starter</v>
          </cell>
          <cell r="E22">
            <v>226</v>
          </cell>
          <cell r="F22">
            <v>236</v>
          </cell>
          <cell r="G22">
            <v>246</v>
          </cell>
          <cell r="K22">
            <v>30000</v>
          </cell>
        </row>
        <row r="23">
          <cell r="B23" t="str">
            <v>Grower 1</v>
          </cell>
          <cell r="E23">
            <v>213</v>
          </cell>
          <cell r="F23">
            <v>223</v>
          </cell>
          <cell r="G23">
            <v>233</v>
          </cell>
          <cell r="K23">
            <v>39795.91836734694</v>
          </cell>
        </row>
        <row r="24">
          <cell r="B24" t="str">
            <v>Grower 2</v>
          </cell>
          <cell r="E24">
            <v>197</v>
          </cell>
          <cell r="F24">
            <v>207</v>
          </cell>
          <cell r="G24">
            <v>217</v>
          </cell>
          <cell r="K24">
            <v>43648.77551020408</v>
          </cell>
        </row>
        <row r="25">
          <cell r="B25" t="str">
            <v>Pre-Layer</v>
          </cell>
          <cell r="E25">
            <v>216</v>
          </cell>
          <cell r="F25">
            <v>226</v>
          </cell>
          <cell r="G25">
            <v>236</v>
          </cell>
          <cell r="K25">
            <v>153.0612244897959</v>
          </cell>
        </row>
        <row r="26">
          <cell r="K26">
            <v>356.1224489795918</v>
          </cell>
        </row>
        <row r="27">
          <cell r="A27" t="str">
            <v>Expected yearly chick purchases</v>
          </cell>
          <cell r="F27">
            <v>30612.244897959183</v>
          </cell>
          <cell r="G27" t="str">
            <v>chicks</v>
          </cell>
          <cell r="K27">
            <v>1071.4285714285713</v>
          </cell>
        </row>
        <row r="28">
          <cell r="K28">
            <v>0</v>
          </cell>
        </row>
        <row r="29">
          <cell r="A29" t="str">
            <v>EXPENSES</v>
          </cell>
        </row>
        <row r="30">
          <cell r="A30" t="str">
            <v>-</v>
          </cell>
        </row>
        <row r="31">
          <cell r="A31" t="str">
            <v>Variable Costs:</v>
          </cell>
          <cell r="G31" t="str">
            <v> $/Cycle:</v>
          </cell>
          <cell r="H31" t="str">
            <v> $/Year:</v>
          </cell>
        </row>
        <row r="32">
          <cell r="A32" t="str">
            <v> Feed costs:</v>
          </cell>
          <cell r="G32" t="str">
            <v>-</v>
          </cell>
          <cell r="H32" t="str">
            <v>-</v>
          </cell>
        </row>
        <row r="33">
          <cell r="A33" t="str">
            <v>  Purchased feed</v>
          </cell>
          <cell r="G33">
            <v>21824.38775510204</v>
          </cell>
          <cell r="H33">
            <v>43648.77551020408</v>
          </cell>
        </row>
        <row r="34">
          <cell r="A34" t="str">
            <v>   kilograms/bird</v>
          </cell>
          <cell r="C34">
            <v>6.470000000000001</v>
          </cell>
          <cell r="D34" t="str">
            <v>(computed requirement)</v>
          </cell>
        </row>
        <row r="35">
          <cell r="A35" t="str">
            <v>   tonnes/cycle</v>
          </cell>
          <cell r="C35">
            <v>99.03061224489797</v>
          </cell>
          <cell r="D35" t="str">
            <v>(computed requirement)</v>
          </cell>
        </row>
        <row r="36">
          <cell r="A36" t="str">
            <v>   tonnes/year</v>
          </cell>
          <cell r="C36">
            <v>198.06122448979593</v>
          </cell>
          <cell r="D36" t="str">
            <v>(computed requirement)</v>
          </cell>
        </row>
        <row r="37">
          <cell r="A37" t="str">
            <v>   dollars/bird</v>
          </cell>
          <cell r="C37">
            <v>1.4258600000000001</v>
          </cell>
          <cell r="D37" t="str">
            <v>(calculated)</v>
          </cell>
        </row>
        <row r="38">
          <cell r="A38" t="str">
            <v>  Other#1</v>
          </cell>
          <cell r="C38">
            <v>0</v>
          </cell>
          <cell r="D38" t="str">
            <v>(cost per cycle)</v>
          </cell>
          <cell r="G38">
            <v>0</v>
          </cell>
          <cell r="H38">
            <v>0</v>
          </cell>
        </row>
        <row r="39">
          <cell r="A39" t="str">
            <v>  Other#2</v>
          </cell>
          <cell r="C39">
            <v>0</v>
          </cell>
          <cell r="D39" t="str">
            <v>(cost per cycle)</v>
          </cell>
          <cell r="G39">
            <v>0</v>
          </cell>
          <cell r="H39">
            <v>0</v>
          </cell>
        </row>
        <row r="41">
          <cell r="A41" t="str">
            <v>  Homegrown Feed *</v>
          </cell>
        </row>
        <row r="42">
          <cell r="A42" t="str">
            <v>    Crop Transfers    (from Transfer Table)</v>
          </cell>
          <cell r="G42" t="e">
            <v>#REF!</v>
          </cell>
          <cell r="H42" t="e">
            <v>#REF!</v>
          </cell>
        </row>
        <row r="43">
          <cell r="A43" t="str">
            <v> Total Feed Costs</v>
          </cell>
          <cell r="G43" t="e">
            <v>#REF!</v>
          </cell>
          <cell r="H43" t="e">
            <v>#REF!</v>
          </cell>
        </row>
        <row r="45">
          <cell r="B45" t="str">
            <v>  * (be careful not to include crop costs which</v>
          </cell>
        </row>
        <row r="46">
          <cell r="B46" t="str">
            <v>     have already been entered in the transfer table.)</v>
          </cell>
        </row>
        <row r="48">
          <cell r="A48" t="str">
            <v> Expected Yearly Chick Purchases (in dollars)</v>
          </cell>
          <cell r="G48">
            <v>19897.95918367347</v>
          </cell>
          <cell r="H48">
            <v>39795.91836734694</v>
          </cell>
        </row>
        <row r="49">
          <cell r="A49" t="str">
            <v>=</v>
          </cell>
          <cell r="B49" t="str">
            <v>=</v>
          </cell>
          <cell r="C49" t="str">
            <v>=</v>
          </cell>
          <cell r="D49" t="str">
            <v>=</v>
          </cell>
          <cell r="E49" t="str">
            <v>=</v>
          </cell>
          <cell r="F49" t="str">
            <v>=</v>
          </cell>
          <cell r="G49" t="str">
            <v>=</v>
          </cell>
          <cell r="H49" t="str">
            <v>=</v>
          </cell>
        </row>
        <row r="51">
          <cell r="D51" t="str">
            <v> Unit</v>
          </cell>
          <cell r="E51" t="str">
            <v>Number</v>
          </cell>
          <cell r="F51" t="str">
            <v>$/Unit</v>
          </cell>
          <cell r="G51" t="str">
            <v>  $/Cycle:</v>
          </cell>
          <cell r="H51" t="str">
            <v>   $/Year</v>
          </cell>
        </row>
        <row r="52"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</row>
        <row r="53">
          <cell r="A53" t="str">
            <v> Hired Labour</v>
          </cell>
          <cell r="D53" t="str">
            <v>hrs</v>
          </cell>
          <cell r="E53">
            <v>0</v>
          </cell>
          <cell r="F53">
            <v>7.75</v>
          </cell>
          <cell r="G53">
            <v>0</v>
          </cell>
          <cell r="H53">
            <v>0</v>
          </cell>
        </row>
        <row r="54">
          <cell r="A54" t="str">
            <v> Veterinary &amp; Medicine</v>
          </cell>
          <cell r="D54" t="str">
            <v>1000 Chks</v>
          </cell>
          <cell r="E54">
            <v>30.612244897959183</v>
          </cell>
          <cell r="F54">
            <v>5</v>
          </cell>
          <cell r="G54">
            <v>76.53061224489795</v>
          </cell>
          <cell r="H54">
            <v>153.0612244897959</v>
          </cell>
        </row>
        <row r="55">
          <cell r="A55" t="str">
            <v> Bedding</v>
          </cell>
          <cell r="D55" t="str">
            <v>1000 Chks</v>
          </cell>
          <cell r="E55">
            <v>30.612244897959183</v>
          </cell>
          <cell r="F55">
            <v>10</v>
          </cell>
          <cell r="G55">
            <v>153.0612244897959</v>
          </cell>
          <cell r="H55">
            <v>306.1224489795918</v>
          </cell>
        </row>
        <row r="56">
          <cell r="A56" t="str">
            <v> Marketing Board Fees</v>
          </cell>
          <cell r="D56" t="str">
            <v>1000 Chks</v>
          </cell>
          <cell r="E56">
            <v>30.612244897959183</v>
          </cell>
          <cell r="F56">
            <v>20</v>
          </cell>
          <cell r="G56">
            <v>306.1224489795918</v>
          </cell>
          <cell r="H56">
            <v>612.2448979591836</v>
          </cell>
        </row>
        <row r="57">
          <cell r="A57" t="str">
            <v> Transportation</v>
          </cell>
          <cell r="D57" t="str">
            <v>1000 Chks</v>
          </cell>
          <cell r="E57">
            <v>30.612244897959183</v>
          </cell>
          <cell r="F57">
            <v>15</v>
          </cell>
          <cell r="G57">
            <v>229.59183673469389</v>
          </cell>
          <cell r="H57">
            <v>459.18367346938777</v>
          </cell>
        </row>
        <row r="58">
          <cell r="A58" t="str">
            <v> Heat</v>
          </cell>
          <cell r="D58" t="str">
            <v>1000 Chks</v>
          </cell>
          <cell r="E58">
            <v>30.612244897959183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 Custom Work</v>
          </cell>
          <cell r="D59" t="str">
            <v>$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 Equipment Rental</v>
          </cell>
          <cell r="D60" t="str">
            <v>$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 Miscellaneous </v>
          </cell>
          <cell r="D61" t="str">
            <v>$</v>
          </cell>
          <cell r="E61">
            <v>1</v>
          </cell>
          <cell r="F61">
            <v>50</v>
          </cell>
          <cell r="G61">
            <v>25</v>
          </cell>
          <cell r="H61">
            <v>50</v>
          </cell>
        </row>
        <row r="63">
          <cell r="D63" t="str">
            <v>Typical</v>
          </cell>
          <cell r="E63" t="str">
            <v> Enterprise</v>
          </cell>
          <cell r="K63" t="str">
            <v>Wfarm!L4</v>
          </cell>
        </row>
        <row r="64">
          <cell r="C64" t="str">
            <v>         $/Chick: $ Allocated: $/Chick: $/Cycle: $/Year:</v>
          </cell>
          <cell r="D64" t="str">
            <v>$/1000 Chks</v>
          </cell>
          <cell r="E64" t="str">
            <v> $ Allocated:</v>
          </cell>
          <cell r="G64" t="str">
            <v>  $/Cycle:</v>
          </cell>
          <cell r="H64" t="str">
            <v>   $/Year</v>
          </cell>
          <cell r="K64" t="str">
            <v>Wfarm!L5</v>
          </cell>
        </row>
        <row r="65">
          <cell r="D65" t="str">
            <v>-</v>
          </cell>
          <cell r="E65" t="str">
            <v>-</v>
          </cell>
          <cell r="F65" t="str">
            <v>---</v>
          </cell>
          <cell r="G65" t="str">
            <v>-</v>
          </cell>
          <cell r="H65" t="str">
            <v>-</v>
          </cell>
          <cell r="K65" t="str">
            <v>Wfarm!L6</v>
          </cell>
        </row>
        <row r="66">
          <cell r="A66" t="str">
            <v> Fuel</v>
          </cell>
          <cell r="D66">
            <v>10</v>
          </cell>
          <cell r="E66" t="e">
            <v>#REF!</v>
          </cell>
          <cell r="G66" t="e">
            <v>#REF!</v>
          </cell>
          <cell r="H66" t="e">
            <v>#REF!</v>
          </cell>
          <cell r="K66" t="str">
            <v>Wfarm!L7</v>
          </cell>
        </row>
        <row r="67">
          <cell r="A67" t="str">
            <v> Mach. Repair &amp; Maint.</v>
          </cell>
          <cell r="D67">
            <v>10</v>
          </cell>
          <cell r="E67" t="e">
            <v>#REF!</v>
          </cell>
          <cell r="G67" t="e">
            <v>#REF!</v>
          </cell>
          <cell r="H67" t="e">
            <v>#REF!</v>
          </cell>
          <cell r="K67" t="str">
            <v>Wfarm!L8</v>
          </cell>
        </row>
        <row r="68">
          <cell r="A68" t="str">
            <v> Bldg. Repair &amp; Maint.</v>
          </cell>
          <cell r="D68">
            <v>10</v>
          </cell>
          <cell r="E68" t="e">
            <v>#REF!</v>
          </cell>
          <cell r="G68" t="e">
            <v>#REF!</v>
          </cell>
          <cell r="H68" t="e">
            <v>#REF!</v>
          </cell>
        </row>
        <row r="69">
          <cell r="A69" t="str">
            <v> Rent and Labour</v>
          </cell>
          <cell r="D69">
            <v>10</v>
          </cell>
          <cell r="E69" t="e">
            <v>#REF!</v>
          </cell>
          <cell r="G69" t="e">
            <v>#REF!</v>
          </cell>
          <cell r="H69" t="e">
            <v>#REF!</v>
          </cell>
        </row>
        <row r="70">
          <cell r="A70" t="str">
            <v> General Variable Costs</v>
          </cell>
          <cell r="D70">
            <v>10</v>
          </cell>
          <cell r="E70" t="e">
            <v>#REF!</v>
          </cell>
          <cell r="G70" t="e">
            <v>#REF!</v>
          </cell>
          <cell r="H70" t="e">
            <v>#REF!</v>
          </cell>
          <cell r="J70" t="e">
            <v>#REF!</v>
          </cell>
          <cell r="K70" t="str">
            <v>Wfarm!L9</v>
          </cell>
        </row>
        <row r="72">
          <cell r="A72" t="str">
            <v>Interest on</v>
          </cell>
          <cell r="C72" t="str">
            <v>% Int.</v>
          </cell>
          <cell r="D72" t="str">
            <v>% Year</v>
          </cell>
        </row>
        <row r="73">
          <cell r="A73" t="str">
            <v>Operating Capital</v>
          </cell>
          <cell r="C73">
            <v>6</v>
          </cell>
          <cell r="D73">
            <v>50</v>
          </cell>
          <cell r="E73" t="e">
            <v>#REF!</v>
          </cell>
          <cell r="G73" t="e">
            <v>#REF!</v>
          </cell>
          <cell r="H73" t="e">
            <v>#REF!</v>
          </cell>
        </row>
        <row r="74">
          <cell r="A74" t="str">
            <v>Total Variable Costs</v>
          </cell>
          <cell r="G74" t="e">
            <v>#REF!</v>
          </cell>
          <cell r="H74" t="e">
            <v>#REF!</v>
          </cell>
        </row>
        <row r="76">
          <cell r="K76" t="str">
            <v>Wfarm!K4</v>
          </cell>
        </row>
        <row r="77">
          <cell r="D77" t="str">
            <v>Typical</v>
          </cell>
          <cell r="E77" t="str">
            <v> Enterprise</v>
          </cell>
          <cell r="K77" t="str">
            <v>Wfarm!K5</v>
          </cell>
        </row>
        <row r="78">
          <cell r="A78" t="str">
            <v>Fixed Costs:</v>
          </cell>
          <cell r="C78" t="str">
            <v>         $/Chick: $ Allocated: $/Chick: $/Cycle: $/Year:</v>
          </cell>
          <cell r="D78" t="str">
            <v>$/1000 Chks</v>
          </cell>
          <cell r="E78" t="str">
            <v> $ Allocated:</v>
          </cell>
          <cell r="G78" t="str">
            <v>  $/Cycle:</v>
          </cell>
          <cell r="H78" t="str">
            <v>   $/Year</v>
          </cell>
          <cell r="K78" t="str">
            <v>Wfarm!K6</v>
          </cell>
        </row>
        <row r="79">
          <cell r="D79" t="str">
            <v>-</v>
          </cell>
          <cell r="E79" t="str">
            <v>-</v>
          </cell>
          <cell r="F79" t="str">
            <v>---</v>
          </cell>
          <cell r="G79" t="str">
            <v>-</v>
          </cell>
          <cell r="H79" t="str">
            <v>-</v>
          </cell>
          <cell r="K79" t="str">
            <v>Wfarm!K7</v>
          </cell>
        </row>
        <row r="80">
          <cell r="A80" t="str">
            <v> Depreciation</v>
          </cell>
          <cell r="D80">
            <v>10</v>
          </cell>
          <cell r="E80" t="e">
            <v>#REF!</v>
          </cell>
          <cell r="G80" t="e">
            <v>#REF!</v>
          </cell>
          <cell r="H80" t="e">
            <v>#REF!</v>
          </cell>
        </row>
        <row r="81">
          <cell r="A81" t="str">
            <v> Interest on Term Loans</v>
          </cell>
          <cell r="D81">
            <v>10</v>
          </cell>
          <cell r="E81" t="e">
            <v>#REF!</v>
          </cell>
          <cell r="G81" t="e">
            <v>#REF!</v>
          </cell>
          <cell r="H81" t="e">
            <v>#REF!</v>
          </cell>
        </row>
        <row r="82">
          <cell r="A82" t="str">
            <v> Long-term Leases</v>
          </cell>
          <cell r="D82">
            <v>10</v>
          </cell>
          <cell r="E82" t="e">
            <v>#REF!</v>
          </cell>
          <cell r="G82" t="e">
            <v>#REF!</v>
          </cell>
          <cell r="H82" t="e">
            <v>#REF!</v>
          </cell>
        </row>
        <row r="83">
          <cell r="A83" t="str">
            <v> General Fixed Costs</v>
          </cell>
          <cell r="D83">
            <v>10</v>
          </cell>
          <cell r="E83" t="e">
            <v>#REF!</v>
          </cell>
          <cell r="G83" t="e">
            <v>#REF!</v>
          </cell>
          <cell r="H83" t="e">
            <v>#REF!</v>
          </cell>
        </row>
        <row r="84">
          <cell r="A84" t="str">
            <v>Total Fixed Costs</v>
          </cell>
          <cell r="G84" t="e">
            <v>#REF!</v>
          </cell>
          <cell r="H84" t="e">
            <v>#REF!</v>
          </cell>
        </row>
        <row r="85">
          <cell r="A85" t="str">
            <v>=</v>
          </cell>
          <cell r="B85" t="str">
            <v>=</v>
          </cell>
          <cell r="C85" t="str">
            <v>=</v>
          </cell>
          <cell r="D85" t="str">
            <v>=</v>
          </cell>
          <cell r="E85" t="str">
            <v>=</v>
          </cell>
          <cell r="F85" t="str">
            <v>=</v>
          </cell>
          <cell r="G85" t="str">
            <v>=</v>
          </cell>
          <cell r="H85" t="str">
            <v>=</v>
          </cell>
        </row>
        <row r="87">
          <cell r="A87" t="str">
            <v>Revenues:</v>
          </cell>
          <cell r="E87" t="str">
            <v>$/bird</v>
          </cell>
          <cell r="F87" t="str">
            <v>$/Cycle</v>
          </cell>
          <cell r="G87" t="str">
            <v>$/Year</v>
          </cell>
        </row>
        <row r="88">
          <cell r="E88" t="str">
            <v>-</v>
          </cell>
          <cell r="F88" t="str">
            <v>-</v>
          </cell>
          <cell r="G88" t="str">
            <v>-</v>
          </cell>
        </row>
        <row r="89">
          <cell r="A89" t="str">
            <v>Total Expected Revenues</v>
          </cell>
          <cell r="E89">
            <v>4.5</v>
          </cell>
          <cell r="F89">
            <v>67500</v>
          </cell>
          <cell r="G89">
            <v>135000</v>
          </cell>
        </row>
        <row r="90">
          <cell r="A90" t="str">
            <v>    less: Variable Costs</v>
          </cell>
          <cell r="E90" t="e">
            <v>#REF!</v>
          </cell>
          <cell r="F90" t="e">
            <v>#REF!</v>
          </cell>
          <cell r="G90" t="e">
            <v>#REF!</v>
          </cell>
        </row>
        <row r="91">
          <cell r="A91" t="str">
            <v>Expected Operating Margin</v>
          </cell>
          <cell r="E91" t="e">
            <v>#REF!</v>
          </cell>
          <cell r="F91" t="e">
            <v>#REF!</v>
          </cell>
          <cell r="G91" t="e">
            <v>#REF!</v>
          </cell>
        </row>
        <row r="92">
          <cell r="A92" t="str">
            <v>    less: Fixed Costs</v>
          </cell>
          <cell r="E92" t="e">
            <v>#REF!</v>
          </cell>
          <cell r="F92" t="e">
            <v>#REF!</v>
          </cell>
          <cell r="G92" t="e">
            <v>#REF!</v>
          </cell>
        </row>
        <row r="93">
          <cell r="A93" t="str">
            <v>Expected Net Revenue</v>
          </cell>
          <cell r="E93" t="e">
            <v>#REF!</v>
          </cell>
          <cell r="F93" t="e">
            <v>#REF!</v>
          </cell>
          <cell r="G93" t="e">
            <v>#REF!</v>
          </cell>
        </row>
        <row r="95">
          <cell r="A95" t="str">
            <v>Expected break-even dollars per pullet</v>
          </cell>
        </row>
        <row r="96">
          <cell r="A96" t="str">
            <v>for birds sold; needed to cover:</v>
          </cell>
          <cell r="E96" t="str">
            <v>Variable Costs</v>
          </cell>
          <cell r="G96" t="e">
            <v>#REF!</v>
          </cell>
        </row>
        <row r="97">
          <cell r="E97" t="str">
            <v>Fixed Costs</v>
          </cell>
          <cell r="G97" t="e">
            <v>#REF!</v>
          </cell>
        </row>
        <row r="98">
          <cell r="E98" t="str">
            <v>Total Costs</v>
          </cell>
          <cell r="G98" t="e">
            <v>#REF!</v>
          </cell>
          <cell r="I98">
            <v>2.503125</v>
          </cell>
        </row>
        <row r="99">
          <cell r="A99" t="str">
            <v>=</v>
          </cell>
          <cell r="B99" t="str">
            <v>=</v>
          </cell>
          <cell r="C99" t="str">
            <v>=</v>
          </cell>
          <cell r="D99" t="str">
            <v>=</v>
          </cell>
          <cell r="E99" t="str">
            <v>=</v>
          </cell>
          <cell r="F99" t="str">
            <v>=</v>
          </cell>
          <cell r="G99" t="str">
            <v>=</v>
          </cell>
          <cell r="H99" t="str">
            <v>=</v>
          </cell>
          <cell r="I99">
            <v>0.0009000000000000016</v>
          </cell>
        </row>
        <row r="100">
          <cell r="I100">
            <v>0.0003107556000000004</v>
          </cell>
        </row>
        <row r="101">
          <cell r="I101">
            <v>0.0011399609000000011</v>
          </cell>
        </row>
        <row r="102">
          <cell r="B102" t="str">
            <v>Chance of at least breaking even       ==&gt;</v>
          </cell>
          <cell r="G102" t="e">
            <v>#REF!</v>
          </cell>
          <cell r="I102">
            <v>0.0009134102249999999</v>
          </cell>
        </row>
        <row r="103">
          <cell r="B103" t="str">
            <v>Chance of at least</v>
          </cell>
          <cell r="D103">
            <v>0</v>
          </cell>
          <cell r="E103" t="str">
            <v>$/cycle retn==&gt;</v>
          </cell>
          <cell r="G103" t="e">
            <v>#REF!</v>
          </cell>
          <cell r="I103">
            <v>0.00028387360000000034</v>
          </cell>
        </row>
        <row r="104">
          <cell r="B104" t="str">
            <v>Coefficient of variation               ==&gt;</v>
          </cell>
          <cell r="G104">
            <v>0</v>
          </cell>
          <cell r="I104">
            <v>2349027176.4811535</v>
          </cell>
        </row>
        <row r="105">
          <cell r="I105">
            <v>48466.763627058426</v>
          </cell>
        </row>
        <row r="106">
          <cell r="C106" t="str">
            <v>      Returns</v>
          </cell>
          <cell r="F106" t="str">
            <v>Chances of at least</v>
          </cell>
          <cell r="I106">
            <v>1.6155587875686142</v>
          </cell>
        </row>
        <row r="107">
          <cell r="C107" t="str">
            <v>$/pullet</v>
          </cell>
          <cell r="D107" t="str">
            <v>$/cycle</v>
          </cell>
          <cell r="F107" t="str">
            <v>this return per pulletkg</v>
          </cell>
          <cell r="I107">
            <v>24233.381813529213</v>
          </cell>
        </row>
        <row r="108">
          <cell r="I108" t="str">
            <v> +b.e.</v>
          </cell>
          <cell r="J108" t="str">
            <v> +profit</v>
          </cell>
        </row>
        <row r="109">
          <cell r="C109" t="e">
            <v>#REF!</v>
          </cell>
          <cell r="D109" t="e">
            <v>#REF!</v>
          </cell>
          <cell r="F109" t="str">
            <v>       17 %</v>
          </cell>
          <cell r="I109" t="e">
            <v>#REF!</v>
          </cell>
          <cell r="J109" t="e">
            <v>#REF!</v>
          </cell>
        </row>
        <row r="110">
          <cell r="C110" t="e">
            <v>#REF!</v>
          </cell>
          <cell r="D110" t="e">
            <v>#REF!</v>
          </cell>
          <cell r="F110" t="str">
            <v>       33 %</v>
          </cell>
          <cell r="I110" t="e">
            <v>#REF!</v>
          </cell>
          <cell r="J110" t="e">
            <v>#REF!</v>
          </cell>
        </row>
        <row r="111">
          <cell r="C111" t="e">
            <v>#REF!</v>
          </cell>
          <cell r="D111" t="e">
            <v>#REF!</v>
          </cell>
          <cell r="F111" t="str">
            <v>       50 %</v>
          </cell>
          <cell r="I111" t="e">
            <v>#REF!</v>
          </cell>
          <cell r="J111" t="e">
            <v>#REF!</v>
          </cell>
        </row>
        <row r="112">
          <cell r="C112" t="e">
            <v>#REF!</v>
          </cell>
          <cell r="D112" t="e">
            <v>#REF!</v>
          </cell>
          <cell r="F112" t="str">
            <v>       67 %</v>
          </cell>
          <cell r="I112" t="e">
            <v>#REF!</v>
          </cell>
          <cell r="J112" t="e">
            <v>#REF!</v>
          </cell>
        </row>
        <row r="113">
          <cell r="C113" t="e">
            <v>#REF!</v>
          </cell>
          <cell r="D113" t="e">
            <v>#REF!</v>
          </cell>
          <cell r="F113" t="str">
            <v>       83 %</v>
          </cell>
        </row>
        <row r="115">
          <cell r="D115" t="str">
            <v> - End of Budget -</v>
          </cell>
        </row>
        <row r="116">
          <cell r="A116" t="str">
            <v>=</v>
          </cell>
          <cell r="B116" t="str">
            <v>=</v>
          </cell>
          <cell r="C116" t="str">
            <v>=</v>
          </cell>
          <cell r="D116" t="str">
            <v>=</v>
          </cell>
          <cell r="E116" t="str">
            <v>=</v>
          </cell>
          <cell r="F116" t="str">
            <v>=</v>
          </cell>
          <cell r="G116" t="str">
            <v>=</v>
          </cell>
          <cell r="H116" t="str">
            <v>=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YER"/>
    </sheetNames>
    <sheetDataSet>
      <sheetData sheetId="0">
        <row r="1">
          <cell r="A1" t="str">
            <v>Layer 1</v>
          </cell>
          <cell r="C1" t="str">
            <v>LAYER ENTERPRISE BUDGET</v>
          </cell>
          <cell r="F1" t="str">
            <v>Revised: May '98</v>
          </cell>
        </row>
        <row r="2">
          <cell r="A2">
            <v>352</v>
          </cell>
          <cell r="E2" t="str">
            <v> Profit per Dozen: </v>
          </cell>
          <cell r="G2" t="e">
            <v>#REF!</v>
          </cell>
        </row>
        <row r="3">
          <cell r="A3" t="str">
            <v>Bird Quota</v>
          </cell>
          <cell r="E3">
            <v>15000</v>
          </cell>
          <cell r="F3" t="str">
            <v>Units</v>
          </cell>
        </row>
        <row r="4">
          <cell r="A4" t="str">
            <v>Additional quota units per cycle</v>
          </cell>
          <cell r="E4">
            <v>0</v>
          </cell>
          <cell r="F4" t="str">
            <v>Units</v>
          </cell>
          <cell r="K4">
            <v>0.04368</v>
          </cell>
        </row>
        <row r="5">
          <cell r="A5" t="str">
            <v>Death loss (laying flock) %</v>
          </cell>
          <cell r="E5">
            <v>6</v>
          </cell>
        </row>
        <row r="6">
          <cell r="A6" t="str">
            <v>Number of Flocks</v>
          </cell>
          <cell r="E6">
            <v>2</v>
          </cell>
        </row>
        <row r="7">
          <cell r="A7" t="str">
            <v>Number of weeks per cycle</v>
          </cell>
          <cell r="E7">
            <v>52</v>
          </cell>
          <cell r="F7" t="str">
            <v>weeks</v>
          </cell>
        </row>
        <row r="8">
          <cell r="A8" t="str">
            <v>Average Number of Laying Hens</v>
          </cell>
          <cell r="E8">
            <v>14775</v>
          </cell>
        </row>
        <row r="10">
          <cell r="E10" t="str">
            <v>     Opt.</v>
          </cell>
          <cell r="F10" t="str">
            <v>  Expected   Pess.</v>
          </cell>
        </row>
        <row r="11">
          <cell r="A11" t="str">
            <v>Pullet cost ($/pullet)</v>
          </cell>
          <cell r="E11">
            <v>3.75</v>
          </cell>
          <cell r="F11">
            <v>4</v>
          </cell>
          <cell r="G11">
            <v>4.25</v>
          </cell>
        </row>
        <row r="12">
          <cell r="A12" t="str">
            <v>Bird Productivity (total eggs/hen)</v>
          </cell>
          <cell r="E12">
            <v>300</v>
          </cell>
          <cell r="F12">
            <v>288</v>
          </cell>
          <cell r="G12">
            <v>276</v>
          </cell>
        </row>
        <row r="13">
          <cell r="A13" t="str">
            <v>Average Price per Dozen Eggs</v>
          </cell>
          <cell r="E13">
            <v>1.31</v>
          </cell>
          <cell r="F13">
            <v>1.26</v>
          </cell>
          <cell r="G13">
            <v>1.21</v>
          </cell>
        </row>
        <row r="14">
          <cell r="A14" t="str">
            <v>Feed Conversion (Kg per Dozen)</v>
          </cell>
          <cell r="E14">
            <v>1.54</v>
          </cell>
          <cell r="F14">
            <v>1.57</v>
          </cell>
          <cell r="G14">
            <v>1.6</v>
          </cell>
          <cell r="K14">
            <v>0</v>
          </cell>
        </row>
        <row r="15">
          <cell r="A15" t="str">
            <v>Purchased feed price ($'s per tonne)</v>
          </cell>
          <cell r="E15">
            <v>200</v>
          </cell>
          <cell r="F15">
            <v>222</v>
          </cell>
          <cell r="G15">
            <v>240</v>
          </cell>
          <cell r="K15" t="e">
            <v>#REF!</v>
          </cell>
        </row>
        <row r="16">
          <cell r="A16" t="str">
            <v>Salvage Value of Spent Hen ($/Hen)</v>
          </cell>
          <cell r="E16">
            <v>0.17</v>
          </cell>
          <cell r="F16">
            <v>0.15</v>
          </cell>
          <cell r="G16">
            <v>0.12</v>
          </cell>
          <cell r="K16" t="e">
            <v>#REF!</v>
          </cell>
        </row>
        <row r="17">
          <cell r="K17">
            <v>449012.25</v>
          </cell>
        </row>
        <row r="18">
          <cell r="A18" t="str">
            <v>Egg Production per bird (dozen)</v>
          </cell>
          <cell r="E18">
            <v>25</v>
          </cell>
          <cell r="F18">
            <v>24</v>
          </cell>
          <cell r="G18">
            <v>23</v>
          </cell>
          <cell r="K18">
            <v>26593.828301461213</v>
          </cell>
        </row>
        <row r="19">
          <cell r="A19" t="str">
            <v>Total Flock Production (dozen)</v>
          </cell>
          <cell r="E19">
            <v>369375</v>
          </cell>
          <cell r="F19">
            <v>354600</v>
          </cell>
          <cell r="G19">
            <v>339825</v>
          </cell>
        </row>
        <row r="20">
          <cell r="A20" t="str">
            <v>Gross Revenue From Egg Sales</v>
          </cell>
          <cell r="E20">
            <v>483881.25</v>
          </cell>
          <cell r="F20">
            <v>446796</v>
          </cell>
          <cell r="G20">
            <v>411188.25</v>
          </cell>
          <cell r="K20" t="str">
            <v>Tran!D3..G14</v>
          </cell>
        </row>
        <row r="21">
          <cell r="A21" t="str">
            <v>Gross Revenue From Spent Hens</v>
          </cell>
          <cell r="E21">
            <v>2511.75</v>
          </cell>
          <cell r="F21">
            <v>2216.25</v>
          </cell>
          <cell r="G21">
            <v>1773</v>
          </cell>
          <cell r="K21" t="str">
            <v>Allo!C3..J14</v>
          </cell>
        </row>
        <row r="22">
          <cell r="K22">
            <v>14775</v>
          </cell>
        </row>
        <row r="23">
          <cell r="A23" t="str">
            <v>=</v>
          </cell>
          <cell r="B23" t="str">
            <v>=</v>
          </cell>
          <cell r="C23" t="str">
            <v>=</v>
          </cell>
          <cell r="D23" t="str">
            <v>=</v>
          </cell>
          <cell r="E23" t="str">
            <v>=</v>
          </cell>
          <cell r="F23" t="str">
            <v>=</v>
          </cell>
          <cell r="G23" t="str">
            <v>=</v>
          </cell>
          <cell r="H23" t="str">
            <v>=</v>
          </cell>
          <cell r="I23" t="str">
            <v>=</v>
          </cell>
          <cell r="K23">
            <v>60900</v>
          </cell>
        </row>
        <row r="24">
          <cell r="A24" t="str">
            <v>Variable Costs:</v>
          </cell>
          <cell r="F24" t="str">
            <v>$ per</v>
          </cell>
          <cell r="G24" t="str">
            <v>$ per</v>
          </cell>
          <cell r="H24" t="str">
            <v>$ per</v>
          </cell>
          <cell r="K24">
            <v>123592.284</v>
          </cell>
        </row>
        <row r="25">
          <cell r="F25" t="str">
            <v>Dozen:</v>
          </cell>
          <cell r="G25" t="str">
            <v>Cycle:</v>
          </cell>
          <cell r="H25" t="str">
            <v>Year</v>
          </cell>
          <cell r="K25">
            <v>1000</v>
          </cell>
        </row>
        <row r="26">
          <cell r="A26" t="str">
            <v> Feed costs:</v>
          </cell>
          <cell r="K26">
            <v>12750</v>
          </cell>
        </row>
        <row r="27">
          <cell r="A27" t="str">
            <v>Purchased feed</v>
          </cell>
          <cell r="C27">
            <v>222</v>
          </cell>
          <cell r="D27" t="str">
            <v>($'s per tonne)</v>
          </cell>
          <cell r="F27">
            <v>0.34854</v>
          </cell>
          <cell r="G27">
            <v>123592.284</v>
          </cell>
          <cell r="H27">
            <v>123592.284</v>
          </cell>
          <cell r="K27">
            <v>76756.8</v>
          </cell>
        </row>
        <row r="28">
          <cell r="A28" t="str">
            <v>  kilograms/bird</v>
          </cell>
          <cell r="C28">
            <v>37.68</v>
          </cell>
          <cell r="D28" t="str">
            <v>(computed)</v>
          </cell>
          <cell r="K28">
            <v>0</v>
          </cell>
        </row>
        <row r="29">
          <cell r="A29" t="str">
            <v>  tonnes/cycle</v>
          </cell>
          <cell r="C29">
            <v>556.722</v>
          </cell>
          <cell r="D29" t="str">
            <v>(computed)</v>
          </cell>
        </row>
        <row r="30">
          <cell r="A30" t="str">
            <v>  tonnes/year</v>
          </cell>
          <cell r="C30">
            <v>556.722</v>
          </cell>
          <cell r="D30" t="str">
            <v>(computed)</v>
          </cell>
        </row>
        <row r="31">
          <cell r="A31" t="str">
            <v> Other1</v>
          </cell>
          <cell r="C31">
            <v>0</v>
          </cell>
          <cell r="D31" t="str">
            <v>(cost per cycle)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 Other2</v>
          </cell>
          <cell r="C32">
            <v>0</v>
          </cell>
          <cell r="D32" t="str">
            <v>(cost per cycle)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  Crop Transfers *</v>
          </cell>
          <cell r="F33" t="e">
            <v>#REF!</v>
          </cell>
          <cell r="G33" t="e">
            <v>#REF!</v>
          </cell>
          <cell r="H33" t="e">
            <v>#REF!</v>
          </cell>
        </row>
        <row r="34">
          <cell r="A34" t="str">
            <v>  -------</v>
          </cell>
          <cell r="F34" t="str">
            <v>-------</v>
          </cell>
          <cell r="G34" t="str">
            <v>-------</v>
          </cell>
          <cell r="H34" t="str">
            <v>-------</v>
          </cell>
        </row>
        <row r="35">
          <cell r="A35" t="str">
            <v>  Total Feed Costs</v>
          </cell>
          <cell r="F35" t="e">
            <v>#REF!</v>
          </cell>
          <cell r="G35" t="e">
            <v>#REF!</v>
          </cell>
          <cell r="H35" t="e">
            <v>#REF!</v>
          </cell>
        </row>
        <row r="36">
          <cell r="A36" t="str">
            <v>   * be careful not to double count crop </v>
          </cell>
        </row>
        <row r="37">
          <cell r="A37" t="str">
            <v>     transfers</v>
          </cell>
        </row>
        <row r="38">
          <cell r="A38" t="str">
            <v> Number of Pullets Purchased</v>
          </cell>
          <cell r="E38">
            <v>15225</v>
          </cell>
        </row>
        <row r="39">
          <cell r="A39" t="str">
            <v> Expected Pullet Purchases at:</v>
          </cell>
          <cell r="E39">
            <v>4</v>
          </cell>
          <cell r="F39">
            <v>0.17174280879864637</v>
          </cell>
          <cell r="G39">
            <v>60900</v>
          </cell>
          <cell r="H39">
            <v>60900</v>
          </cell>
        </row>
        <row r="42">
          <cell r="C42" t="str">
            <v>          Comparison</v>
          </cell>
          <cell r="F42" t="str">
            <v>  Actual</v>
          </cell>
        </row>
        <row r="43">
          <cell r="D43" t="str">
            <v> $/Dozen</v>
          </cell>
          <cell r="F43" t="str">
            <v>$/Dozen:</v>
          </cell>
          <cell r="G43" t="str">
            <v>$/Cycle:</v>
          </cell>
          <cell r="H43" t="str">
            <v>$/Year:</v>
          </cell>
        </row>
        <row r="44">
          <cell r="A44" t="str">
            <v> Veterinary &amp; Medicine</v>
          </cell>
          <cell r="D44">
            <v>0.002</v>
          </cell>
          <cell r="F44">
            <v>0.0028200789622109417</v>
          </cell>
          <cell r="G44">
            <v>1000</v>
          </cell>
          <cell r="H44">
            <v>1000</v>
          </cell>
        </row>
        <row r="45">
          <cell r="A45" t="str">
            <v> Heat and Hydro</v>
          </cell>
          <cell r="D45">
            <v>0.03</v>
          </cell>
          <cell r="F45">
            <v>0.027495769881556685</v>
          </cell>
          <cell r="G45">
            <v>9750</v>
          </cell>
          <cell r="H45">
            <v>9750</v>
          </cell>
        </row>
        <row r="46">
          <cell r="A46" t="str">
            <v> Insurance </v>
          </cell>
          <cell r="D46">
            <v>0.005</v>
          </cell>
          <cell r="F46">
            <v>0.004230118443316413</v>
          </cell>
          <cell r="G46">
            <v>1500</v>
          </cell>
          <cell r="H46">
            <v>1500</v>
          </cell>
        </row>
        <row r="47">
          <cell r="A47" t="str">
            <v> Trucking</v>
          </cell>
          <cell r="D47">
            <v>0.01</v>
          </cell>
          <cell r="F47">
            <v>0.008460236886632826</v>
          </cell>
          <cell r="G47">
            <v>3000</v>
          </cell>
          <cell r="H47">
            <v>3000</v>
          </cell>
        </row>
        <row r="48">
          <cell r="A48" t="str">
            <v> Bedding:units/day</v>
          </cell>
          <cell r="C48">
            <v>0</v>
          </cell>
        </row>
        <row r="49">
          <cell r="B49" t="str">
            <v>$'s/unit</v>
          </cell>
          <cell r="C49">
            <v>10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</row>
        <row r="51">
          <cell r="A51" t="str">
            <v> Other (Miscellaneous)</v>
          </cell>
          <cell r="D51">
            <v>0.1</v>
          </cell>
          <cell r="F51">
            <v>0.004230118443316413</v>
          </cell>
          <cell r="G51">
            <v>1500</v>
          </cell>
          <cell r="H51">
            <v>1500</v>
          </cell>
        </row>
        <row r="52">
          <cell r="A52" t="str">
            <v> Marketing Board Fees</v>
          </cell>
          <cell r="F52">
            <v>0.208</v>
          </cell>
          <cell r="G52">
            <v>73756.8</v>
          </cell>
          <cell r="H52">
            <v>73756.8</v>
          </cell>
        </row>
        <row r="53">
          <cell r="A53" t="str">
            <v> Custom Work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</row>
        <row r="55">
          <cell r="C55" t="str">
            <v>     Comparison  Enterprise</v>
          </cell>
        </row>
        <row r="56">
          <cell r="C56" t="str">
            <v>     $/Dozen:  $ Allocated:</v>
          </cell>
          <cell r="F56" t="str">
            <v>$/Dozen:</v>
          </cell>
          <cell r="G56" t="str">
            <v>$/Cycle:</v>
          </cell>
          <cell r="H56" t="str">
            <v>$/Year:</v>
          </cell>
        </row>
        <row r="57">
          <cell r="A57" t="str">
            <v> Fuel</v>
          </cell>
          <cell r="D57">
            <v>0.01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K57" t="str">
            <v>Wfarm!L4</v>
          </cell>
        </row>
        <row r="58">
          <cell r="A58" t="str">
            <v> Mach. Repair &amp; Maint.</v>
          </cell>
          <cell r="D58">
            <v>0.01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K58" t="str">
            <v>Wfarm!L5</v>
          </cell>
        </row>
        <row r="59">
          <cell r="A59" t="str">
            <v> Bldg. Repair &amp; Maint.</v>
          </cell>
          <cell r="D59">
            <v>0.02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K59" t="str">
            <v>Wfarm!L6</v>
          </cell>
        </row>
        <row r="60">
          <cell r="A60" t="str">
            <v> Rent and Labour</v>
          </cell>
          <cell r="D60">
            <v>0.02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K60" t="str">
            <v>Wfarm!L7</v>
          </cell>
        </row>
        <row r="61">
          <cell r="A61" t="str">
            <v> General Variable Costs</v>
          </cell>
          <cell r="D61">
            <v>0.01</v>
          </cell>
          <cell r="E61" t="e">
            <v>#REF!</v>
          </cell>
          <cell r="F61" t="e">
            <v>#REF!</v>
          </cell>
          <cell r="G61" t="e">
            <v>#REF!</v>
          </cell>
          <cell r="H61" t="e">
            <v>#REF!</v>
          </cell>
          <cell r="K61" t="str">
            <v>Wfarm!L8</v>
          </cell>
        </row>
        <row r="63">
          <cell r="A63" t="str">
            <v>Interest on</v>
          </cell>
          <cell r="D63" t="str">
            <v>(% Interest)</v>
          </cell>
        </row>
        <row r="64">
          <cell r="A64" t="str">
            <v>       Operating Capital</v>
          </cell>
          <cell r="D64">
            <v>8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J64">
            <v>4000</v>
          </cell>
          <cell r="K64" t="str">
            <v>Wfarm!L9</v>
          </cell>
        </row>
        <row r="65">
          <cell r="A65" t="str">
            <v>Operating Capital Required</v>
          </cell>
          <cell r="D65">
            <v>50000</v>
          </cell>
          <cell r="F65" t="str">
            <v>-------</v>
          </cell>
          <cell r="G65" t="str">
            <v>-------</v>
          </cell>
          <cell r="H65" t="str">
            <v>-------</v>
          </cell>
        </row>
        <row r="66">
          <cell r="A66" t="str">
            <v>Total Variable Costs</v>
          </cell>
          <cell r="F66" t="e">
            <v>#REF!</v>
          </cell>
          <cell r="G66" t="e">
            <v>#REF!</v>
          </cell>
          <cell r="H66" t="e">
            <v>#REF!</v>
          </cell>
        </row>
        <row r="67">
          <cell r="F67" t="str">
            <v>-------</v>
          </cell>
          <cell r="G67" t="str">
            <v>-------</v>
          </cell>
          <cell r="H67" t="str">
            <v>-------</v>
          </cell>
        </row>
        <row r="70">
          <cell r="C70" t="str">
            <v>     Comparison  Enterprise</v>
          </cell>
        </row>
        <row r="71">
          <cell r="A71" t="str">
            <v>Fixed Costs:</v>
          </cell>
          <cell r="C71" t="str">
            <v>       $/Dozen: $ Allocated:</v>
          </cell>
          <cell r="F71" t="str">
            <v>$/Dozen:</v>
          </cell>
          <cell r="G71" t="str">
            <v>$/Cycle:</v>
          </cell>
          <cell r="H71" t="str">
            <v>$/Year:</v>
          </cell>
        </row>
        <row r="72">
          <cell r="A72" t="str">
            <v> Depreciation</v>
          </cell>
          <cell r="D72">
            <v>0.031</v>
          </cell>
          <cell r="E72" t="e">
            <v>#REF!</v>
          </cell>
          <cell r="F72" t="e">
            <v>#REF!</v>
          </cell>
          <cell r="G72" t="e">
            <v>#REF!</v>
          </cell>
          <cell r="H72" t="e">
            <v>#REF!</v>
          </cell>
          <cell r="K72" t="str">
            <v>Wfarm!K4</v>
          </cell>
        </row>
        <row r="73">
          <cell r="A73" t="str">
            <v> Interest on Term Loans</v>
          </cell>
          <cell r="D73">
            <v>0.077</v>
          </cell>
          <cell r="E73" t="e">
            <v>#REF!</v>
          </cell>
          <cell r="F73" t="e">
            <v>#REF!</v>
          </cell>
          <cell r="G73" t="e">
            <v>#REF!</v>
          </cell>
          <cell r="H73" t="e">
            <v>#REF!</v>
          </cell>
          <cell r="K73" t="str">
            <v>Wfarm!K5</v>
          </cell>
        </row>
        <row r="74">
          <cell r="A74" t="str">
            <v> Long-term Leases</v>
          </cell>
          <cell r="D74">
            <v>0.006</v>
          </cell>
          <cell r="E74" t="e">
            <v>#REF!</v>
          </cell>
          <cell r="F74" t="e">
            <v>#REF!</v>
          </cell>
          <cell r="G74" t="e">
            <v>#REF!</v>
          </cell>
          <cell r="H74" t="e">
            <v>#REF!</v>
          </cell>
          <cell r="K74" t="str">
            <v>Wfarm!K6</v>
          </cell>
        </row>
        <row r="75">
          <cell r="A75" t="str">
            <v> General Fixed Costs</v>
          </cell>
          <cell r="D75">
            <v>0.006</v>
          </cell>
          <cell r="E75" t="e">
            <v>#REF!</v>
          </cell>
          <cell r="F75" t="e">
            <v>#REF!</v>
          </cell>
          <cell r="G75" t="e">
            <v>#REF!</v>
          </cell>
          <cell r="H75" t="e">
            <v>#REF!</v>
          </cell>
          <cell r="K75" t="str">
            <v>Wfarm!K7</v>
          </cell>
        </row>
        <row r="76">
          <cell r="F76" t="str">
            <v>-------</v>
          </cell>
          <cell r="G76" t="str">
            <v>-------</v>
          </cell>
          <cell r="H76" t="str">
            <v>-------</v>
          </cell>
        </row>
        <row r="77">
          <cell r="A77" t="str">
            <v>Total Fixed Costs</v>
          </cell>
          <cell r="F77" t="e">
            <v>#REF!</v>
          </cell>
          <cell r="G77" t="e">
            <v>#REF!</v>
          </cell>
          <cell r="H77" t="e">
            <v>#REF!</v>
          </cell>
        </row>
        <row r="80">
          <cell r="A80" t="str">
            <v>=</v>
          </cell>
          <cell r="B80" t="str">
            <v>=</v>
          </cell>
          <cell r="C80" t="str">
            <v>=</v>
          </cell>
          <cell r="D80" t="str">
            <v>=</v>
          </cell>
          <cell r="E80" t="str">
            <v>=</v>
          </cell>
          <cell r="F80" t="str">
            <v>=</v>
          </cell>
          <cell r="G80" t="str">
            <v>=</v>
          </cell>
          <cell r="H80" t="str">
            <v>=</v>
          </cell>
        </row>
        <row r="81">
          <cell r="F81" t="str">
            <v> $/Dozen:</v>
          </cell>
          <cell r="G81" t="str">
            <v>$/Cycle:</v>
          </cell>
          <cell r="H81" t="str">
            <v>$/Year:</v>
          </cell>
        </row>
        <row r="82">
          <cell r="A82" t="str">
            <v>Total Expected Revenues</v>
          </cell>
          <cell r="F82">
            <v>1.26625</v>
          </cell>
          <cell r="G82">
            <v>449012.25</v>
          </cell>
          <cell r="H82">
            <v>449012.25</v>
          </cell>
        </row>
        <row r="83">
          <cell r="A83" t="str">
            <v>    less Feed &amp; Pullet Costs</v>
          </cell>
          <cell r="F83">
            <v>0.5202828087986464</v>
          </cell>
          <cell r="G83">
            <v>184492.28399999999</v>
          </cell>
          <cell r="H83">
            <v>184492.28399999999</v>
          </cell>
        </row>
        <row r="84">
          <cell r="A84" t="str">
            <v>    -----</v>
          </cell>
          <cell r="B84" t="str">
            <v>-</v>
          </cell>
          <cell r="F84" t="str">
            <v> ------- </v>
          </cell>
          <cell r="G84" t="str">
            <v> ------- </v>
          </cell>
          <cell r="H84" t="str">
            <v> ------- </v>
          </cell>
        </row>
        <row r="85">
          <cell r="A85" t="str">
            <v> NET of FEED &amp; PULLET COSTS</v>
          </cell>
          <cell r="F85">
            <v>0.7459671912013537</v>
          </cell>
          <cell r="G85">
            <v>264519.966</v>
          </cell>
          <cell r="H85">
            <v>264519.966</v>
          </cell>
        </row>
        <row r="86">
          <cell r="A86" t="str">
            <v>    less Remainder of Variable Costs</v>
          </cell>
          <cell r="F86" t="e">
            <v>#REF!</v>
          </cell>
          <cell r="G86" t="e">
            <v>#REF!</v>
          </cell>
          <cell r="H86" t="e">
            <v>#REF!</v>
          </cell>
        </row>
        <row r="87">
          <cell r="A87" t="str">
            <v>    -----</v>
          </cell>
          <cell r="B87" t="str">
            <v>-</v>
          </cell>
          <cell r="F87" t="str">
            <v> ------- </v>
          </cell>
          <cell r="G87" t="str">
            <v> ------- </v>
          </cell>
          <cell r="H87" t="str">
            <v> ------- </v>
          </cell>
        </row>
        <row r="88">
          <cell r="A88" t="str">
            <v>Expected Operating Margin</v>
          </cell>
          <cell r="F88" t="e">
            <v>#REF!</v>
          </cell>
          <cell r="G88" t="e">
            <v>#REF!</v>
          </cell>
          <cell r="H88" t="e">
            <v>#REF!</v>
          </cell>
        </row>
        <row r="89">
          <cell r="A89" t="str">
            <v>    less Fixed Costs</v>
          </cell>
          <cell r="F89" t="e">
            <v>#REF!</v>
          </cell>
          <cell r="G89" t="e">
            <v>#REF!</v>
          </cell>
          <cell r="H89" t="e">
            <v>#REF!</v>
          </cell>
        </row>
        <row r="90">
          <cell r="A90" t="str">
            <v>    -----</v>
          </cell>
          <cell r="B90" t="str">
            <v>-</v>
          </cell>
          <cell r="F90" t="str">
            <v> ------- </v>
          </cell>
          <cell r="G90" t="str">
            <v> ------- </v>
          </cell>
          <cell r="H90" t="str">
            <v> ------- </v>
          </cell>
        </row>
        <row r="91">
          <cell r="A91" t="str">
            <v>Expected Net Revenue</v>
          </cell>
          <cell r="F91" t="e">
            <v>#REF!</v>
          </cell>
          <cell r="G91" t="e">
            <v>#REF!</v>
          </cell>
          <cell r="H91" t="e">
            <v>#REF!</v>
          </cell>
        </row>
        <row r="92">
          <cell r="F92" t="str">
            <v> =======</v>
          </cell>
          <cell r="G92" t="str">
            <v> =======</v>
          </cell>
          <cell r="H92" t="str">
            <v> =======</v>
          </cell>
        </row>
        <row r="93">
          <cell r="A93" t="str">
            <v>Expected break-even dollars per dozen</v>
          </cell>
        </row>
        <row r="94">
          <cell r="A94" t="str">
            <v>sold; needed to cover:</v>
          </cell>
          <cell r="F94" t="str">
            <v>Variable Costs</v>
          </cell>
          <cell r="H94" t="e">
            <v>#REF!</v>
          </cell>
        </row>
        <row r="95">
          <cell r="F95" t="str">
            <v>Fixed Costs</v>
          </cell>
          <cell r="H95" t="e">
            <v>#REF!</v>
          </cell>
        </row>
        <row r="96">
          <cell r="H96" t="str">
            <v>-</v>
          </cell>
        </row>
        <row r="97">
          <cell r="F97" t="str">
            <v>Total Costs</v>
          </cell>
          <cell r="H97" t="e">
            <v>#REF!</v>
          </cell>
        </row>
        <row r="99">
          <cell r="A99" t="str">
            <v>=</v>
          </cell>
          <cell r="B99" t="str">
            <v>=</v>
          </cell>
          <cell r="C99" t="str">
            <v>=</v>
          </cell>
          <cell r="D99" t="str">
            <v>=</v>
          </cell>
          <cell r="E99" t="str">
            <v>=</v>
          </cell>
          <cell r="F99" t="str">
            <v>=</v>
          </cell>
          <cell r="G99" t="str">
            <v>=</v>
          </cell>
          <cell r="H99" t="str">
            <v>=</v>
          </cell>
          <cell r="I99" t="str">
            <v>=</v>
          </cell>
        </row>
        <row r="102">
          <cell r="G102" t="str">
            <v>Var(Rev)</v>
          </cell>
          <cell r="H102">
            <v>660926972.2500005</v>
          </cell>
        </row>
        <row r="103">
          <cell r="A103" t="str">
            <v>Chance of at least breaking even       ==&gt;</v>
          </cell>
          <cell r="F103" t="e">
            <v>#REF!</v>
          </cell>
          <cell r="G103" t="str">
            <v>Var(SpHn)</v>
          </cell>
          <cell r="H103">
            <v>136437.8906250001</v>
          </cell>
        </row>
        <row r="104">
          <cell r="A104" t="str">
            <v>Chance of at least</v>
          </cell>
          <cell r="C104">
            <v>0</v>
          </cell>
          <cell r="D104" t="str">
            <v>$/year retn ==&gt;</v>
          </cell>
          <cell r="F104" t="e">
            <v>#REF!</v>
          </cell>
          <cell r="G104" t="str">
            <v>Var(PCst)</v>
          </cell>
          <cell r="H104">
            <v>14062500</v>
          </cell>
        </row>
        <row r="105">
          <cell r="A105" t="str">
            <v>Coefficient of variation               ==&gt;</v>
          </cell>
          <cell r="F105">
            <v>0.05922740036927993</v>
          </cell>
          <cell r="G105" t="str">
            <v>Var(FCst)</v>
          </cell>
          <cell r="H105">
            <v>32096706.961974062</v>
          </cell>
        </row>
        <row r="106">
          <cell r="G106" t="str">
            <v>Var(NRv)</v>
          </cell>
          <cell r="H106">
            <v>707231703.7275995</v>
          </cell>
        </row>
        <row r="107">
          <cell r="B107" t="str">
            <v>          Returns</v>
          </cell>
          <cell r="E107" t="str">
            <v>Chance of at least</v>
          </cell>
          <cell r="G107" t="str">
            <v>SumStd</v>
          </cell>
          <cell r="H107">
            <v>26593.828301461213</v>
          </cell>
        </row>
        <row r="108">
          <cell r="B108" t="str">
            <v>$/dozen</v>
          </cell>
          <cell r="C108" t="str">
            <v>$/year</v>
          </cell>
          <cell r="D108" t="str">
            <v>$/cycle</v>
          </cell>
          <cell r="E108" t="str">
            <v>    this return  </v>
          </cell>
          <cell r="G108" t="str">
            <v>Stddoz</v>
          </cell>
          <cell r="H108">
            <v>0.07499669571760072</v>
          </cell>
        </row>
        <row r="109">
          <cell r="G109" t="str">
            <v>CycleStd</v>
          </cell>
          <cell r="H109">
            <v>26593.828301461213</v>
          </cell>
        </row>
        <row r="110">
          <cell r="B110" t="e">
            <v>#REF!</v>
          </cell>
          <cell r="C110" t="e">
            <v>#REF!</v>
          </cell>
          <cell r="D110" t="e">
            <v>#REF!</v>
          </cell>
          <cell r="E110" t="str">
            <v>       17 %</v>
          </cell>
        </row>
        <row r="111">
          <cell r="B111" t="e">
            <v>#REF!</v>
          </cell>
          <cell r="C111" t="e">
            <v>#REF!</v>
          </cell>
          <cell r="D111" t="e">
            <v>#REF!</v>
          </cell>
          <cell r="E111" t="str">
            <v>       33 %</v>
          </cell>
        </row>
        <row r="112">
          <cell r="B112" t="e">
            <v>#REF!</v>
          </cell>
          <cell r="C112" t="e">
            <v>#REF!</v>
          </cell>
          <cell r="D112" t="e">
            <v>#REF!</v>
          </cell>
          <cell r="E112" t="str">
            <v>       50 %</v>
          </cell>
          <cell r="H112" t="str">
            <v> +b.e.</v>
          </cell>
          <cell r="I112" t="str">
            <v> +profit</v>
          </cell>
        </row>
        <row r="113">
          <cell r="B113" t="e">
            <v>#REF!</v>
          </cell>
          <cell r="C113" t="e">
            <v>#REF!</v>
          </cell>
          <cell r="D113" t="e">
            <v>#REF!</v>
          </cell>
          <cell r="E113" t="str">
            <v>       67 %</v>
          </cell>
          <cell r="G113" t="str">
            <v>z</v>
          </cell>
          <cell r="H113" t="e">
            <v>#REF!</v>
          </cell>
          <cell r="I113" t="e">
            <v>#REF!</v>
          </cell>
        </row>
        <row r="114">
          <cell r="B114" t="e">
            <v>#REF!</v>
          </cell>
          <cell r="C114" t="e">
            <v>#REF!</v>
          </cell>
          <cell r="D114" t="e">
            <v>#REF!</v>
          </cell>
          <cell r="E114" t="str">
            <v>       83 %</v>
          </cell>
          <cell r="G114" t="str">
            <v>v1</v>
          </cell>
          <cell r="H114" t="e">
            <v>#REF!</v>
          </cell>
          <cell r="I114" t="e">
            <v>#REF!</v>
          </cell>
        </row>
        <row r="115">
          <cell r="G115" t="str">
            <v>v2</v>
          </cell>
          <cell r="H115" t="e">
            <v>#REF!</v>
          </cell>
          <cell r="I115" t="e">
            <v>#REF!</v>
          </cell>
        </row>
        <row r="116">
          <cell r="D116" t="str">
            <v>- End of Budget -</v>
          </cell>
          <cell r="G116" t="str">
            <v>p(vx)</v>
          </cell>
          <cell r="H116" t="e">
            <v>#REF!</v>
          </cell>
          <cell r="I116" t="e">
            <v>#REF!</v>
          </cell>
        </row>
        <row r="117">
          <cell r="A117" t="str">
            <v>=</v>
          </cell>
          <cell r="B117" t="str">
            <v>=</v>
          </cell>
          <cell r="C117" t="str">
            <v>=</v>
          </cell>
          <cell r="D117" t="str">
            <v>=</v>
          </cell>
          <cell r="E117" t="str">
            <v>=</v>
          </cell>
          <cell r="F117" t="str">
            <v>=</v>
          </cell>
          <cell r="G117" t="str">
            <v>=</v>
          </cell>
          <cell r="H117" t="str">
            <v>=</v>
          </cell>
          <cell r="I117" t="str">
            <v>=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.info.omafra@ontario.ca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U306"/>
  <sheetViews>
    <sheetView showGridLines="0" tabSelected="1" workbookViewId="0" topLeftCell="A1">
      <selection activeCell="F31" sqref="F31"/>
    </sheetView>
  </sheetViews>
  <sheetFormatPr defaultColWidth="11.00390625" defaultRowHeight="12.75"/>
  <cols>
    <col min="1" max="1" width="11.00390625" style="6" customWidth="1"/>
    <col min="2" max="2" width="18.00390625" style="6" customWidth="1"/>
    <col min="3" max="7" width="11.00390625" style="6" customWidth="1"/>
    <col min="8" max="8" width="11.8515625" style="6" customWidth="1"/>
    <col min="9" max="26" width="11.00390625" style="181" hidden="1" customWidth="1"/>
    <col min="27" max="27" width="11.00390625" style="180" hidden="1" customWidth="1"/>
    <col min="28" max="28" width="11.00390625" style="181" hidden="1" customWidth="1"/>
    <col min="29" max="29" width="11.00390625" style="6" hidden="1" customWidth="1"/>
    <col min="30" max="31" width="9.140625" style="6" hidden="1" customWidth="1"/>
    <col min="32" max="32" width="13.140625" style="6" hidden="1" customWidth="1"/>
    <col min="33" max="46" width="9.140625" style="6" hidden="1" customWidth="1"/>
    <col min="47" max="47" width="12.00390625" style="6" hidden="1" customWidth="1"/>
    <col min="48" max="48" width="11.00390625" style="6" hidden="1" customWidth="1"/>
    <col min="49" max="60" width="11.00390625" style="6" customWidth="1"/>
    <col min="61" max="61" width="13.28125" style="6" customWidth="1"/>
    <col min="62" max="69" width="8.7109375" style="6" customWidth="1"/>
    <col min="70" max="70" width="6.421875" style="6" customWidth="1"/>
    <col min="71" max="16384" width="11.00390625" style="6" customWidth="1"/>
  </cols>
  <sheetData>
    <row r="1" spans="1:47" ht="12.75">
      <c r="A1" s="1"/>
      <c r="B1" s="2"/>
      <c r="C1" s="3" t="s">
        <v>0</v>
      </c>
      <c r="D1" s="2"/>
      <c r="E1" s="2"/>
      <c r="F1" s="2"/>
      <c r="G1" s="193" t="s">
        <v>235</v>
      </c>
      <c r="H1" s="4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0"/>
      <c r="AB1" s="131"/>
      <c r="AC1" s="5"/>
      <c r="AD1" s="5"/>
      <c r="AE1" s="5"/>
      <c r="AF1" s="5"/>
      <c r="AU1" s="7">
        <f>E157</f>
        <v>1436.628307692308</v>
      </c>
    </row>
    <row r="2" spans="1:47" ht="22.5" customHeight="1">
      <c r="A2" s="8">
        <v>1</v>
      </c>
      <c r="B2" s="9"/>
      <c r="C2" s="9"/>
      <c r="D2" s="9"/>
      <c r="E2" s="9"/>
      <c r="F2" s="10" t="s">
        <v>180</v>
      </c>
      <c r="G2" s="11"/>
      <c r="H2" s="12">
        <f>AU1</f>
        <v>1436.628307692308</v>
      </c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2"/>
      <c r="AB2" s="133"/>
      <c r="AC2" s="5"/>
      <c r="AD2" s="5"/>
      <c r="AE2" s="5"/>
      <c r="AF2" s="5"/>
      <c r="AU2" s="6">
        <f>ROUND((((C5+C7)*365)+((C5+C7)*C9*3))/(C11/100)/100,2)</f>
        <v>6267.68</v>
      </c>
    </row>
    <row r="3" spans="1:47" ht="12.75">
      <c r="A3" s="13" t="s">
        <v>1</v>
      </c>
      <c r="B3" s="9"/>
      <c r="C3" s="14">
        <v>78</v>
      </c>
      <c r="D3" s="99"/>
      <c r="E3" s="9"/>
      <c r="F3" s="9" t="s">
        <v>181</v>
      </c>
      <c r="G3" s="15"/>
      <c r="H3" s="103">
        <f>F157</f>
        <v>18.048094317742564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4"/>
      <c r="AB3" s="135"/>
      <c r="AC3" s="5"/>
      <c r="AD3" s="5"/>
      <c r="AE3" s="5"/>
      <c r="AF3" s="5"/>
      <c r="AU3" s="6">
        <f>C3*F29/100*F31/100</f>
        <v>6208.8</v>
      </c>
    </row>
    <row r="4" spans="1:47" ht="12.75">
      <c r="A4" s="17"/>
      <c r="B4" s="9"/>
      <c r="C4" s="18"/>
      <c r="D4" s="99"/>
      <c r="E4" s="10" t="s">
        <v>2</v>
      </c>
      <c r="F4" s="9"/>
      <c r="G4" s="9"/>
      <c r="H4" s="16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0"/>
      <c r="AB4" s="131"/>
      <c r="AC4" s="5"/>
      <c r="AD4" s="5"/>
      <c r="AE4" s="5"/>
      <c r="AF4" s="5"/>
      <c r="AU4" s="6">
        <f>IF(C3&lt;=0,0,+H138)</f>
        <v>324513.762</v>
      </c>
    </row>
    <row r="5" spans="1:47" ht="12.75">
      <c r="A5" s="13" t="s">
        <v>194</v>
      </c>
      <c r="B5" s="9"/>
      <c r="C5" s="14">
        <v>68</v>
      </c>
      <c r="D5" s="43" t="s">
        <v>3</v>
      </c>
      <c r="E5" s="10" t="s">
        <v>4</v>
      </c>
      <c r="F5" s="9"/>
      <c r="G5" s="9"/>
      <c r="H5" s="19">
        <f>AU2</f>
        <v>6267.68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6"/>
      <c r="AB5" s="137"/>
      <c r="AC5" s="5"/>
      <c r="AD5" s="5"/>
      <c r="AE5" s="5"/>
      <c r="AF5" s="5"/>
      <c r="AU5" s="6">
        <f>IF(C3&lt;=0,0,+H147)</f>
        <v>78312</v>
      </c>
    </row>
    <row r="6" spans="1:47" ht="12.75">
      <c r="A6" s="13"/>
      <c r="B6" s="9"/>
      <c r="C6" s="9"/>
      <c r="D6" s="99"/>
      <c r="E6" s="10" t="s">
        <v>209</v>
      </c>
      <c r="F6" s="9"/>
      <c r="G6" s="9"/>
      <c r="H6" s="19">
        <f>AU3</f>
        <v>6208.8</v>
      </c>
      <c r="I6" s="184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6"/>
      <c r="AB6" s="137"/>
      <c r="AC6" s="5"/>
      <c r="AD6" s="5"/>
      <c r="AE6" s="5"/>
      <c r="AF6" s="5"/>
      <c r="AU6" s="6">
        <f>IF(C3&lt;=0,0,+G151)</f>
        <v>514882.77</v>
      </c>
    </row>
    <row r="7" spans="1:47" ht="12.75">
      <c r="A7" s="13" t="s">
        <v>215</v>
      </c>
      <c r="B7" s="9"/>
      <c r="C7" s="14">
        <v>0</v>
      </c>
      <c r="D7" s="43" t="s">
        <v>3</v>
      </c>
      <c r="E7" s="18"/>
      <c r="F7" s="9"/>
      <c r="G7" s="9"/>
      <c r="H7" s="20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8"/>
      <c r="AB7" s="139"/>
      <c r="AC7" s="5"/>
      <c r="AD7" s="5"/>
      <c r="AE7" s="5"/>
      <c r="AF7" s="5"/>
      <c r="AU7" s="6">
        <f>IF(C3&lt;=0,0,+AC166)</f>
        <v>19925.12976048879</v>
      </c>
    </row>
    <row r="8" spans="1:47" ht="12.75">
      <c r="A8" s="13"/>
      <c r="B8" s="9"/>
      <c r="C8" s="21"/>
      <c r="D8" s="43"/>
      <c r="E8" s="43" t="s">
        <v>5</v>
      </c>
      <c r="F8" s="9"/>
      <c r="G8" s="9"/>
      <c r="H8" s="16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0"/>
      <c r="AB8" s="131"/>
      <c r="AC8" s="5"/>
      <c r="AD8" s="5"/>
      <c r="AE8" s="5"/>
      <c r="AF8" s="5"/>
      <c r="AU8" s="6">
        <f>C3</f>
        <v>78</v>
      </c>
    </row>
    <row r="9" spans="1:47" ht="12.75">
      <c r="A9" s="13" t="s">
        <v>6</v>
      </c>
      <c r="B9" s="9"/>
      <c r="C9" s="14">
        <v>0</v>
      </c>
      <c r="D9" s="43" t="s">
        <v>7</v>
      </c>
      <c r="E9" s="10" t="s">
        <v>8</v>
      </c>
      <c r="F9" s="9"/>
      <c r="G9" s="27">
        <v>2.71</v>
      </c>
      <c r="H9" s="97" t="s">
        <v>9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0"/>
      <c r="AB9" s="141"/>
      <c r="AC9" s="5"/>
      <c r="AD9" s="5"/>
      <c r="AE9" s="5"/>
      <c r="AF9" s="5"/>
      <c r="AU9" s="7">
        <f>SUM(H112:H114)</f>
        <v>5850</v>
      </c>
    </row>
    <row r="10" spans="1:47" ht="12.75">
      <c r="A10" s="22"/>
      <c r="B10" s="9"/>
      <c r="C10" s="23"/>
      <c r="D10" s="100"/>
      <c r="E10" s="10" t="s">
        <v>10</v>
      </c>
      <c r="F10" s="11"/>
      <c r="G10" s="27">
        <v>0.635</v>
      </c>
      <c r="H10" s="97" t="s">
        <v>9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0"/>
      <c r="AB10" s="141"/>
      <c r="AC10" s="5"/>
      <c r="AD10" s="5"/>
      <c r="AE10" s="5"/>
      <c r="AF10" s="5"/>
      <c r="AU10" s="7">
        <f>SUM(H81:H85)</f>
        <v>55800</v>
      </c>
    </row>
    <row r="11" spans="1:47" ht="12.75">
      <c r="A11" s="13"/>
      <c r="B11" s="10" t="s">
        <v>217</v>
      </c>
      <c r="C11" s="14">
        <v>3.96</v>
      </c>
      <c r="D11" s="43" t="s">
        <v>11</v>
      </c>
      <c r="E11" s="10" t="s">
        <v>203</v>
      </c>
      <c r="F11" s="11"/>
      <c r="G11" s="27">
        <v>1.3</v>
      </c>
      <c r="H11" s="97" t="s">
        <v>9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0"/>
      <c r="AB11" s="141"/>
      <c r="AC11" s="5"/>
      <c r="AD11" s="5"/>
      <c r="AE11" s="5"/>
      <c r="AF11" s="5"/>
      <c r="AU11" s="7">
        <f>H116+H117</f>
        <v>20514</v>
      </c>
    </row>
    <row r="12" spans="1:47" ht="12.75">
      <c r="A12" s="13"/>
      <c r="B12" s="10" t="s">
        <v>218</v>
      </c>
      <c r="C12" s="14">
        <v>3.31</v>
      </c>
      <c r="D12" s="43" t="s">
        <v>11</v>
      </c>
      <c r="E12" s="10" t="s">
        <v>202</v>
      </c>
      <c r="F12" s="11"/>
      <c r="G12" s="27">
        <v>0.04</v>
      </c>
      <c r="H12" s="97" t="s">
        <v>9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0"/>
      <c r="AB12" s="141"/>
      <c r="AC12" s="5"/>
      <c r="AD12" s="5"/>
      <c r="AE12" s="5"/>
      <c r="AF12" s="5"/>
      <c r="AU12" s="6">
        <f>C11</f>
        <v>3.96</v>
      </c>
    </row>
    <row r="13" spans="1:47" ht="12.75">
      <c r="A13" s="13"/>
      <c r="B13" s="10" t="s">
        <v>17</v>
      </c>
      <c r="C13" s="14">
        <v>5.74</v>
      </c>
      <c r="D13" s="43" t="s">
        <v>11</v>
      </c>
      <c r="E13" s="10" t="s">
        <v>12</v>
      </c>
      <c r="F13" s="11"/>
      <c r="G13" s="27">
        <v>0.06</v>
      </c>
      <c r="H13" s="97" t="s">
        <v>9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0"/>
      <c r="AB13" s="141"/>
      <c r="AC13" s="5"/>
      <c r="AD13" s="5"/>
      <c r="AE13" s="5"/>
      <c r="AF13" s="5"/>
      <c r="AU13" s="7">
        <f>H115+H118+H119+H122+H125</f>
        <v>64848</v>
      </c>
    </row>
    <row r="14" spans="1:47" ht="12.75">
      <c r="A14" s="22"/>
      <c r="B14" s="183" t="s">
        <v>225</v>
      </c>
      <c r="C14" s="14">
        <v>2.35</v>
      </c>
      <c r="D14" s="100"/>
      <c r="E14" s="10"/>
      <c r="F14" s="11"/>
      <c r="G14" s="127"/>
      <c r="H14" s="97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0"/>
      <c r="AB14" s="141"/>
      <c r="AC14" s="25"/>
      <c r="AD14" s="5"/>
      <c r="AE14" s="5"/>
      <c r="AF14" s="5"/>
      <c r="AU14" s="7">
        <f>H120+H121</f>
        <v>30310.761999999995</v>
      </c>
    </row>
    <row r="15" spans="1:47" ht="12.75" hidden="1">
      <c r="A15" s="22"/>
      <c r="B15" s="9"/>
      <c r="C15" s="23"/>
      <c r="D15" s="100"/>
      <c r="E15" s="24"/>
      <c r="F15" s="11"/>
      <c r="G15" s="24"/>
      <c r="H15" s="19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6"/>
      <c r="AB15" s="137"/>
      <c r="AC15" s="5"/>
      <c r="AD15" s="5"/>
      <c r="AE15" s="29">
        <f>AU4</f>
        <v>324513.762</v>
      </c>
      <c r="AF15" s="5"/>
      <c r="AU15" s="7">
        <f>H123+H124</f>
        <v>2890</v>
      </c>
    </row>
    <row r="16" spans="1:47" ht="12.75">
      <c r="A16" s="13"/>
      <c r="B16" s="26"/>
      <c r="C16" s="120"/>
      <c r="D16" s="38"/>
      <c r="E16" s="18" t="s">
        <v>179</v>
      </c>
      <c r="F16" s="23"/>
      <c r="G16" s="27">
        <f>SUM(G9:G14)</f>
        <v>4.744999999999999</v>
      </c>
      <c r="H16" s="6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2"/>
      <c r="AB16" s="143"/>
      <c r="AC16" s="5"/>
      <c r="AD16" s="5"/>
      <c r="AE16" s="29">
        <f>AU5</f>
        <v>78312</v>
      </c>
      <c r="AF16" s="5"/>
      <c r="AU16" s="6">
        <f>IF(ROUND(H6,2)&gt;H5,H5,ROUND(H6,2))</f>
        <v>6208.8</v>
      </c>
    </row>
    <row r="17" spans="1:47" ht="12.75">
      <c r="A17" s="13"/>
      <c r="B17" s="26"/>
      <c r="C17" s="120"/>
      <c r="D17" s="38"/>
      <c r="E17" s="18"/>
      <c r="F17" s="23"/>
      <c r="G17" s="126"/>
      <c r="H17" s="63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4"/>
      <c r="AB17" s="145"/>
      <c r="AC17" s="5"/>
      <c r="AD17" s="5"/>
      <c r="AE17" s="29">
        <f>AU6</f>
        <v>514882.77</v>
      </c>
      <c r="AF17" s="5"/>
      <c r="AU17" s="6">
        <f>C11</f>
        <v>3.96</v>
      </c>
    </row>
    <row r="18" spans="1:47" ht="12.75" hidden="1">
      <c r="A18" s="13"/>
      <c r="B18" s="9"/>
      <c r="C18" s="119"/>
      <c r="D18" s="43"/>
      <c r="E18" s="10"/>
      <c r="F18" s="11"/>
      <c r="G18" s="127"/>
      <c r="H18" s="97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4"/>
      <c r="AB18" s="145"/>
      <c r="AC18" s="25"/>
      <c r="AD18" s="5"/>
      <c r="AE18" s="29">
        <f>AU7</f>
        <v>19925.12976048879</v>
      </c>
      <c r="AF18" s="5"/>
      <c r="AU18" s="6">
        <f>ROUND(+A38*C38,0)</f>
        <v>24587</v>
      </c>
    </row>
    <row r="19" spans="1:47" ht="12.75" hidden="1">
      <c r="A19" s="17"/>
      <c r="B19" s="9"/>
      <c r="C19" s="18"/>
      <c r="D19" s="99"/>
      <c r="E19" s="125"/>
      <c r="F19" s="21"/>
      <c r="G19" s="21"/>
      <c r="H19" s="98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4"/>
      <c r="AB19" s="145"/>
      <c r="AC19" s="5"/>
      <c r="AD19" s="5"/>
      <c r="AE19" s="5"/>
      <c r="AF19" s="5"/>
      <c r="AU19" s="32">
        <f>C22</f>
        <v>10.24</v>
      </c>
    </row>
    <row r="20" spans="1:47" ht="12.75" hidden="1">
      <c r="A20" s="17"/>
      <c r="B20" s="9"/>
      <c r="C20" s="18"/>
      <c r="D20" s="99"/>
      <c r="E20" s="125"/>
      <c r="F20" s="21"/>
      <c r="G20" s="21"/>
      <c r="H20" s="98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4"/>
      <c r="AB20" s="145"/>
      <c r="AC20" s="5"/>
      <c r="AD20" s="5"/>
      <c r="AE20" s="33" t="s">
        <v>18</v>
      </c>
      <c r="AF20" s="5"/>
      <c r="AU20" s="6">
        <f>ROUND(E38*G38,2)</f>
        <v>251770.88</v>
      </c>
    </row>
    <row r="21" spans="1:47" ht="12.75">
      <c r="A21" s="13" t="s">
        <v>13</v>
      </c>
      <c r="B21" s="9"/>
      <c r="C21" s="30"/>
      <c r="D21" s="38"/>
      <c r="E21" s="10" t="s">
        <v>216</v>
      </c>
      <c r="F21" s="9"/>
      <c r="G21" s="9"/>
      <c r="H21" s="98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4"/>
      <c r="AB21" s="145"/>
      <c r="AC21" s="5"/>
      <c r="AD21" s="5"/>
      <c r="AE21" s="33" t="s">
        <v>19</v>
      </c>
      <c r="AF21" s="5"/>
      <c r="AU21" s="6">
        <f>AU16</f>
        <v>6208.8</v>
      </c>
    </row>
    <row r="22" spans="1:47" ht="12.75">
      <c r="A22" s="13" t="s">
        <v>211</v>
      </c>
      <c r="B22" s="9"/>
      <c r="C22" s="27">
        <v>10.24</v>
      </c>
      <c r="D22" s="38" t="s">
        <v>15</v>
      </c>
      <c r="E22" s="10" t="s">
        <v>14</v>
      </c>
      <c r="F22" s="9"/>
      <c r="G22" s="27">
        <v>0</v>
      </c>
      <c r="H22" s="98" t="s">
        <v>15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0"/>
      <c r="AB22" s="131"/>
      <c r="AC22" s="5"/>
      <c r="AD22" s="5"/>
      <c r="AE22" s="29">
        <f>AU8</f>
        <v>78</v>
      </c>
      <c r="AF22" s="5"/>
      <c r="AU22" s="6">
        <f>C12</f>
        <v>3.31</v>
      </c>
    </row>
    <row r="23" spans="1:47" ht="12.75">
      <c r="A23" s="13" t="s">
        <v>212</v>
      </c>
      <c r="B23" s="9"/>
      <c r="C23" s="27">
        <v>8.53</v>
      </c>
      <c r="D23" s="38" t="s">
        <v>15</v>
      </c>
      <c r="E23" s="10" t="s">
        <v>16</v>
      </c>
      <c r="F23" s="31"/>
      <c r="G23" s="27">
        <v>0</v>
      </c>
      <c r="H23" s="98" t="s">
        <v>15</v>
      </c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6"/>
      <c r="AB23" s="147"/>
      <c r="AC23" s="5"/>
      <c r="AD23" s="5"/>
      <c r="AE23" s="35">
        <f>AU9</f>
        <v>5850</v>
      </c>
      <c r="AF23" s="5"/>
      <c r="AU23" s="6">
        <f>ROUND(+A39*C39,0)</f>
        <v>20551</v>
      </c>
    </row>
    <row r="24" spans="1:47" ht="12.75">
      <c r="A24" s="13" t="s">
        <v>208</v>
      </c>
      <c r="B24" s="18"/>
      <c r="C24" s="27">
        <v>1.74</v>
      </c>
      <c r="D24" s="38" t="s">
        <v>15</v>
      </c>
      <c r="E24" s="10" t="s">
        <v>17</v>
      </c>
      <c r="F24" s="21"/>
      <c r="G24" s="27">
        <v>0</v>
      </c>
      <c r="H24" s="98" t="s">
        <v>15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0"/>
      <c r="AB24" s="131"/>
      <c r="AC24" s="5"/>
      <c r="AD24" s="5"/>
      <c r="AE24" s="35">
        <f>AU10</f>
        <v>55800</v>
      </c>
      <c r="AF24" s="5"/>
      <c r="AU24" s="32">
        <f>C23</f>
        <v>8.53</v>
      </c>
    </row>
    <row r="25" spans="1:47" ht="12.75">
      <c r="A25" s="22"/>
      <c r="B25" s="9"/>
      <c r="C25" s="9"/>
      <c r="D25" s="9"/>
      <c r="E25" s="9"/>
      <c r="F25" s="9"/>
      <c r="G25" s="9"/>
      <c r="H25" s="16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8"/>
      <c r="AB25" s="149"/>
      <c r="AC25" s="5"/>
      <c r="AD25" s="5"/>
      <c r="AE25" s="35">
        <f>AU11</f>
        <v>20514</v>
      </c>
      <c r="AF25" s="5"/>
      <c r="AU25" s="6">
        <f>ROUND(E39*G39,2)</f>
        <v>175300.03</v>
      </c>
    </row>
    <row r="26" spans="1:47" ht="12.75">
      <c r="A26" s="128" t="s">
        <v>204</v>
      </c>
      <c r="B26" s="91"/>
      <c r="C26" s="91"/>
      <c r="D26" s="91"/>
      <c r="E26" s="91"/>
      <c r="F26" s="91"/>
      <c r="G26" s="91"/>
      <c r="H26" s="9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0"/>
      <c r="AB26" s="151"/>
      <c r="AC26" s="5"/>
      <c r="AD26" s="5"/>
      <c r="AE26" s="35">
        <f>AU13</f>
        <v>64848</v>
      </c>
      <c r="AF26" s="5"/>
      <c r="AU26" s="6">
        <f>AU16</f>
        <v>6208.8</v>
      </c>
    </row>
    <row r="27" spans="1:47" ht="12.75">
      <c r="A27" s="17" t="s">
        <v>206</v>
      </c>
      <c r="B27" s="9"/>
      <c r="C27" s="9"/>
      <c r="D27" s="9"/>
      <c r="E27" s="21"/>
      <c r="F27" s="21"/>
      <c r="G27" s="21"/>
      <c r="H27" s="16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2"/>
      <c r="AB27" s="153"/>
      <c r="AC27" s="39"/>
      <c r="AD27" s="5"/>
      <c r="AE27" s="35">
        <f>AU14</f>
        <v>30310.761999999995</v>
      </c>
      <c r="AF27" s="5"/>
      <c r="AU27" s="6">
        <f>C13</f>
        <v>5.74</v>
      </c>
    </row>
    <row r="28" spans="1:47" ht="12.75">
      <c r="A28" s="17"/>
      <c r="B28" s="9"/>
      <c r="C28" s="9"/>
      <c r="D28" s="43" t="s">
        <v>195</v>
      </c>
      <c r="E28" s="99"/>
      <c r="F28" s="43" t="s">
        <v>182</v>
      </c>
      <c r="G28" s="104"/>
      <c r="H28" s="105" t="s">
        <v>196</v>
      </c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2"/>
      <c r="AB28" s="153"/>
      <c r="AC28" s="5"/>
      <c r="AD28" s="5"/>
      <c r="AE28" s="35">
        <f>AU15</f>
        <v>2890</v>
      </c>
      <c r="AF28" s="5"/>
      <c r="AU28" s="6">
        <f>ROUND(+A40*C40,0)</f>
        <v>35639</v>
      </c>
    </row>
    <row r="29" spans="1:47" ht="12.75">
      <c r="A29" s="210" t="s">
        <v>232</v>
      </c>
      <c r="B29" s="9"/>
      <c r="C29" s="9"/>
      <c r="D29" s="14">
        <v>8600</v>
      </c>
      <c r="E29" s="9"/>
      <c r="F29" s="36">
        <v>8000</v>
      </c>
      <c r="G29" s="9"/>
      <c r="H29" s="14">
        <v>7600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8"/>
      <c r="AB29" s="139"/>
      <c r="AC29" s="5"/>
      <c r="AD29" s="5"/>
      <c r="AE29" s="25"/>
      <c r="AF29" s="5"/>
      <c r="AU29" s="32">
        <f>C24</f>
        <v>1.74</v>
      </c>
    </row>
    <row r="30" spans="1:47" ht="12.75">
      <c r="A30" s="13" t="s">
        <v>20</v>
      </c>
      <c r="B30" s="9"/>
      <c r="C30" s="23"/>
      <c r="D30" s="37">
        <v>4.1</v>
      </c>
      <c r="E30" s="24"/>
      <c r="F30" s="38">
        <f>AU12</f>
        <v>3.96</v>
      </c>
      <c r="G30" s="24"/>
      <c r="H30" s="37">
        <v>3.75</v>
      </c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6"/>
      <c r="AB30" s="147"/>
      <c r="AC30" s="5"/>
      <c r="AD30" s="5"/>
      <c r="AE30" s="25"/>
      <c r="AF30" s="5"/>
      <c r="AU30" s="6">
        <f>ROUND(E40*G40,2)</f>
        <v>62011.86</v>
      </c>
    </row>
    <row r="31" spans="1:47" ht="12.75">
      <c r="A31" s="13" t="s">
        <v>21</v>
      </c>
      <c r="B31" s="9"/>
      <c r="C31" s="23"/>
      <c r="D31" s="37">
        <v>100</v>
      </c>
      <c r="E31" s="24"/>
      <c r="F31" s="37">
        <v>99.5</v>
      </c>
      <c r="G31" s="24"/>
      <c r="H31" s="37">
        <v>96</v>
      </c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8"/>
      <c r="AB31" s="139"/>
      <c r="AC31" s="5"/>
      <c r="AD31" s="5"/>
      <c r="AE31" s="5"/>
      <c r="AF31" s="5"/>
      <c r="AU31" s="7">
        <f>IF(ROUND(H6,2)-ROUND(A38,2)&lt;0,0,ROUND(H6,2)-ROUND(A38,2))</f>
        <v>0</v>
      </c>
    </row>
    <row r="32" spans="1:47" ht="12.75">
      <c r="A32" s="22" t="s">
        <v>22</v>
      </c>
      <c r="B32" s="9"/>
      <c r="C32" s="23"/>
      <c r="D32" s="24"/>
      <c r="E32" s="24"/>
      <c r="F32" s="11"/>
      <c r="G32" s="24"/>
      <c r="H32" s="20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8"/>
      <c r="AB32" s="139"/>
      <c r="AC32" s="5"/>
      <c r="AD32" s="5"/>
      <c r="AE32" s="5"/>
      <c r="AF32" s="5"/>
      <c r="AU32" s="6">
        <f>C11</f>
        <v>3.96</v>
      </c>
    </row>
    <row r="33" spans="1:47" ht="12.75">
      <c r="A33" s="91"/>
      <c r="B33" s="91"/>
      <c r="C33" s="91"/>
      <c r="D33" s="91"/>
      <c r="E33" s="91"/>
      <c r="F33" s="91"/>
      <c r="G33" s="91"/>
      <c r="H33" s="91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4"/>
      <c r="AB33" s="155"/>
      <c r="AC33" s="39"/>
      <c r="AD33" s="5"/>
      <c r="AE33" s="5"/>
      <c r="AF33" s="5"/>
      <c r="AU33" s="6">
        <f>ROUND(+A44*C44,0)</f>
        <v>0</v>
      </c>
    </row>
    <row r="34" spans="1:47" ht="12.75">
      <c r="A34" s="13" t="s">
        <v>23</v>
      </c>
      <c r="B34" s="9"/>
      <c r="C34" s="23"/>
      <c r="D34" s="24"/>
      <c r="E34" s="24"/>
      <c r="F34" s="11"/>
      <c r="G34" s="24"/>
      <c r="H34" s="20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2"/>
      <c r="AB34" s="143"/>
      <c r="AC34" s="49"/>
      <c r="AD34" s="5"/>
      <c r="AE34" s="5"/>
      <c r="AF34" s="5"/>
      <c r="AU34" s="32">
        <f>G22</f>
        <v>0</v>
      </c>
    </row>
    <row r="35" spans="1:47" ht="12.75">
      <c r="A35" s="17"/>
      <c r="B35" s="26"/>
      <c r="C35" s="9"/>
      <c r="D35" s="9"/>
      <c r="E35" s="9"/>
      <c r="F35" s="21"/>
      <c r="G35" s="21"/>
      <c r="H35" s="20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6"/>
      <c r="AB35" s="157"/>
      <c r="AC35" s="49"/>
      <c r="AD35" s="49"/>
      <c r="AE35" s="5"/>
      <c r="AF35" s="5"/>
      <c r="AU35" s="6">
        <f>ROUND(E44*G44,2)</f>
        <v>0</v>
      </c>
    </row>
    <row r="36" spans="1:47" ht="12.75">
      <c r="A36" s="13" t="s">
        <v>24</v>
      </c>
      <c r="B36" s="18"/>
      <c r="C36" s="40"/>
      <c r="D36" s="18"/>
      <c r="E36" s="41"/>
      <c r="F36" s="9"/>
      <c r="G36" s="30"/>
      <c r="H36" s="42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43" t="s">
        <v>58</v>
      </c>
      <c r="AB36" s="143" t="s">
        <v>9</v>
      </c>
      <c r="AC36" s="49"/>
      <c r="AD36" s="49"/>
      <c r="AE36" s="49"/>
      <c r="AF36" s="5"/>
      <c r="AU36" s="7">
        <f>AU31</f>
        <v>0</v>
      </c>
    </row>
    <row r="37" spans="1:47" ht="12.75">
      <c r="A37" s="129" t="s">
        <v>25</v>
      </c>
      <c r="B37" s="18"/>
      <c r="C37" s="43" t="s">
        <v>26</v>
      </c>
      <c r="D37" s="18"/>
      <c r="E37" s="43" t="s">
        <v>27</v>
      </c>
      <c r="F37" s="9"/>
      <c r="G37" s="43" t="s">
        <v>28</v>
      </c>
      <c r="H37" s="63" t="s">
        <v>29</v>
      </c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6"/>
      <c r="AB37" s="157"/>
      <c r="AC37" s="39"/>
      <c r="AD37" s="49"/>
      <c r="AE37" s="49"/>
      <c r="AF37" s="5"/>
      <c r="AU37" s="6">
        <f>C12</f>
        <v>3.31</v>
      </c>
    </row>
    <row r="38" spans="1:47" ht="12.75">
      <c r="A38" s="44">
        <f>AU16</f>
        <v>6208.8</v>
      </c>
      <c r="B38" s="10" t="s">
        <v>30</v>
      </c>
      <c r="C38" s="45">
        <f>AU17</f>
        <v>3.96</v>
      </c>
      <c r="D38" s="10" t="s">
        <v>31</v>
      </c>
      <c r="E38" s="46">
        <f>AU18</f>
        <v>24587</v>
      </c>
      <c r="F38" s="9"/>
      <c r="G38" s="47">
        <f>AU19</f>
        <v>10.24</v>
      </c>
      <c r="H38" s="48">
        <f>AU20</f>
        <v>251770.88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0">
        <f>H38/$C$3</f>
        <v>3227.831794871795</v>
      </c>
      <c r="AB38" s="131">
        <f>H38/$H$6</f>
        <v>40.55065068934416</v>
      </c>
      <c r="AC38" s="49"/>
      <c r="AD38" s="49"/>
      <c r="AE38" s="49"/>
      <c r="AF38" s="5"/>
      <c r="AU38" s="6">
        <f>ROUND(+A45*C45,0)</f>
        <v>0</v>
      </c>
    </row>
    <row r="39" spans="1:47" ht="12.75">
      <c r="A39" s="44">
        <f>AU21</f>
        <v>6208.8</v>
      </c>
      <c r="B39" s="10" t="s">
        <v>32</v>
      </c>
      <c r="C39" s="45">
        <f>AU22</f>
        <v>3.31</v>
      </c>
      <c r="D39" s="10" t="s">
        <v>31</v>
      </c>
      <c r="E39" s="46">
        <f>AU23</f>
        <v>20551</v>
      </c>
      <c r="F39" s="21"/>
      <c r="G39" s="47">
        <f>AU24</f>
        <v>8.53</v>
      </c>
      <c r="H39" s="48">
        <f>AU25</f>
        <v>175300.03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0">
        <f>H39/$C$3</f>
        <v>2247.436282051282</v>
      </c>
      <c r="AB39" s="131">
        <f>H39/$H$6</f>
        <v>28.23412414637289</v>
      </c>
      <c r="AC39" s="49"/>
      <c r="AD39" s="49"/>
      <c r="AE39" s="49"/>
      <c r="AF39" s="5"/>
      <c r="AU39" s="32">
        <f>G23</f>
        <v>0</v>
      </c>
    </row>
    <row r="40" spans="1:47" ht="12.75">
      <c r="A40" s="44">
        <f>AU26</f>
        <v>6208.8</v>
      </c>
      <c r="B40" s="10" t="s">
        <v>33</v>
      </c>
      <c r="C40" s="45">
        <f>AU27</f>
        <v>5.74</v>
      </c>
      <c r="D40" s="10" t="s">
        <v>31</v>
      </c>
      <c r="E40" s="46">
        <f>AU28</f>
        <v>35639</v>
      </c>
      <c r="F40" s="21"/>
      <c r="G40" s="47">
        <f>AU29</f>
        <v>1.74</v>
      </c>
      <c r="H40" s="48">
        <f>AU30</f>
        <v>62011.86</v>
      </c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30">
        <f>H40/$C$3</f>
        <v>795.0238461538462</v>
      </c>
      <c r="AB40" s="131">
        <f>H40/$H$6</f>
        <v>9.98773676072671</v>
      </c>
      <c r="AC40" s="5"/>
      <c r="AD40" s="5"/>
      <c r="AE40" s="49"/>
      <c r="AF40" s="5"/>
      <c r="AU40" s="6">
        <f>ROUND(E45*G45,2)</f>
        <v>0</v>
      </c>
    </row>
    <row r="41" spans="1:47" ht="12.75">
      <c r="A41" s="50"/>
      <c r="B41" s="9"/>
      <c r="C41" s="9"/>
      <c r="D41" s="9"/>
      <c r="E41" s="9"/>
      <c r="F41" s="9"/>
      <c r="G41" s="9"/>
      <c r="H41" s="16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6"/>
      <c r="AB41" s="157"/>
      <c r="AC41" s="39"/>
      <c r="AD41" s="5"/>
      <c r="AE41" s="49"/>
      <c r="AF41" s="5"/>
      <c r="AU41" s="7">
        <f>AU31</f>
        <v>0</v>
      </c>
    </row>
    <row r="42" spans="1:47" ht="12.75">
      <c r="A42" s="51" t="s">
        <v>207</v>
      </c>
      <c r="B42" s="18"/>
      <c r="C42" s="40"/>
      <c r="D42" s="9"/>
      <c r="E42" s="18"/>
      <c r="F42" s="9"/>
      <c r="G42" s="9"/>
      <c r="H42" s="20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6"/>
      <c r="AB42" s="157"/>
      <c r="AC42" s="39"/>
      <c r="AD42" s="5"/>
      <c r="AE42" s="5"/>
      <c r="AF42" s="5"/>
      <c r="AU42" s="6">
        <f>C13</f>
        <v>5.74</v>
      </c>
    </row>
    <row r="43" spans="1:47" ht="12.75">
      <c r="A43" s="44" t="s">
        <v>25</v>
      </c>
      <c r="B43" s="18"/>
      <c r="C43" s="43" t="s">
        <v>26</v>
      </c>
      <c r="D43" s="43"/>
      <c r="E43" s="43" t="s">
        <v>27</v>
      </c>
      <c r="F43" s="55"/>
      <c r="G43" s="43" t="s">
        <v>28</v>
      </c>
      <c r="H43" s="63" t="s">
        <v>29</v>
      </c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6"/>
      <c r="AB43" s="157"/>
      <c r="AC43" s="5"/>
      <c r="AD43" s="5"/>
      <c r="AE43" s="5"/>
      <c r="AF43" s="5"/>
      <c r="AU43" s="6">
        <f>ROUND(+A46*C46,0)</f>
        <v>0</v>
      </c>
    </row>
    <row r="44" spans="1:47" ht="12.75">
      <c r="A44" s="44">
        <f>AU31</f>
        <v>0</v>
      </c>
      <c r="B44" s="10" t="s">
        <v>30</v>
      </c>
      <c r="C44" s="45">
        <f>AU32</f>
        <v>3.96</v>
      </c>
      <c r="D44" s="10" t="s">
        <v>31</v>
      </c>
      <c r="E44" s="46">
        <f>AU33</f>
        <v>0</v>
      </c>
      <c r="F44" s="9"/>
      <c r="G44" s="47">
        <f>AU34</f>
        <v>0</v>
      </c>
      <c r="H44" s="48">
        <f>AU35</f>
        <v>0</v>
      </c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0">
        <f>H44/$C$3</f>
        <v>0</v>
      </c>
      <c r="AB44" s="131">
        <f>H44/$H$6</f>
        <v>0</v>
      </c>
      <c r="AC44" s="39"/>
      <c r="AD44" s="5"/>
      <c r="AE44" s="5"/>
      <c r="AF44" s="5"/>
      <c r="AU44" s="32">
        <f>G24</f>
        <v>0</v>
      </c>
    </row>
    <row r="45" spans="1:47" ht="12.75">
      <c r="A45" s="44">
        <f>AU36</f>
        <v>0</v>
      </c>
      <c r="B45" s="10" t="s">
        <v>32</v>
      </c>
      <c r="C45" s="45">
        <f>AU37</f>
        <v>3.31</v>
      </c>
      <c r="D45" s="10" t="s">
        <v>31</v>
      </c>
      <c r="E45" s="46">
        <f>AU38</f>
        <v>0</v>
      </c>
      <c r="F45" s="9"/>
      <c r="G45" s="47">
        <f>AU39</f>
        <v>0</v>
      </c>
      <c r="H45" s="48">
        <f>AU40</f>
        <v>0</v>
      </c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30">
        <f>H45/$C$3</f>
        <v>0</v>
      </c>
      <c r="AB45" s="131">
        <f>H45/$H$6</f>
        <v>0</v>
      </c>
      <c r="AC45" s="39"/>
      <c r="AD45" s="5"/>
      <c r="AE45" s="49"/>
      <c r="AF45" s="5"/>
      <c r="AU45" s="6">
        <f>ROUND(E46*G46,2)</f>
        <v>0</v>
      </c>
    </row>
    <row r="46" spans="1:47" ht="12.75">
      <c r="A46" s="44">
        <f>AU41</f>
        <v>0</v>
      </c>
      <c r="B46" s="10" t="s">
        <v>33</v>
      </c>
      <c r="C46" s="45">
        <f>AU42</f>
        <v>5.74</v>
      </c>
      <c r="D46" s="10" t="s">
        <v>31</v>
      </c>
      <c r="E46" s="46">
        <f>AU43</f>
        <v>0</v>
      </c>
      <c r="F46" s="11"/>
      <c r="G46" s="47">
        <f>AU44</f>
        <v>0</v>
      </c>
      <c r="H46" s="48">
        <f>AU45</f>
        <v>0</v>
      </c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30">
        <f>H46/$C$3</f>
        <v>0</v>
      </c>
      <c r="AB46" s="131">
        <f>H46/$H$6</f>
        <v>0</v>
      </c>
      <c r="AC46" s="39"/>
      <c r="AD46" s="5"/>
      <c r="AE46" s="5"/>
      <c r="AF46" s="5"/>
      <c r="AU46" s="53">
        <f>SUM(H38:H40,H44:H46)</f>
        <v>489082.77</v>
      </c>
    </row>
    <row r="47" spans="1:47" ht="12.75">
      <c r="A47" s="44"/>
      <c r="B47" s="10"/>
      <c r="C47" s="45"/>
      <c r="D47" s="10"/>
      <c r="E47" s="46"/>
      <c r="F47" s="11"/>
      <c r="G47" s="47"/>
      <c r="H47" s="48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30"/>
      <c r="AB47" s="131"/>
      <c r="AC47" s="39"/>
      <c r="AD47" s="5"/>
      <c r="AE47" s="5"/>
      <c r="AF47" s="5"/>
      <c r="AU47" s="53"/>
    </row>
    <row r="48" spans="1:47" ht="12.75">
      <c r="A48" s="44"/>
      <c r="B48" s="10"/>
      <c r="C48" s="45" t="s">
        <v>226</v>
      </c>
      <c r="D48" s="10"/>
      <c r="E48" s="46" t="s">
        <v>225</v>
      </c>
      <c r="F48" s="11"/>
      <c r="G48" s="47"/>
      <c r="H48" s="63" t="s">
        <v>29</v>
      </c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30"/>
      <c r="AB48" s="131"/>
      <c r="AC48" s="39"/>
      <c r="AD48" s="5"/>
      <c r="AE48" s="5"/>
      <c r="AF48" s="5"/>
      <c r="AU48" s="53"/>
    </row>
    <row r="49" spans="1:47" ht="12.75">
      <c r="A49" s="185" t="s">
        <v>221</v>
      </c>
      <c r="B49" s="9"/>
      <c r="C49" s="186">
        <f>(C12+C13)/C11</f>
        <v>2.2853535353535355</v>
      </c>
      <c r="D49" s="187"/>
      <c r="E49" s="45">
        <f>C14</f>
        <v>2.35</v>
      </c>
      <c r="F49" s="10"/>
      <c r="G49" s="52"/>
      <c r="H49" s="48">
        <f>-AA50*C23-AA51*C24</f>
        <v>0</v>
      </c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6">
        <f>C14*E38</f>
        <v>57779.450000000004</v>
      </c>
      <c r="AB49" s="188" t="s">
        <v>222</v>
      </c>
      <c r="AC49" s="5"/>
      <c r="AD49" s="5"/>
      <c r="AE49" s="5"/>
      <c r="AF49" s="5"/>
      <c r="AU49" s="53">
        <f>E38</f>
        <v>24587</v>
      </c>
    </row>
    <row r="50" spans="1:47" ht="12.75">
      <c r="A50" s="22"/>
      <c r="B50" s="9"/>
      <c r="C50" s="10"/>
      <c r="D50" s="23"/>
      <c r="E50" s="46"/>
      <c r="F50" s="10"/>
      <c r="G50" s="52"/>
      <c r="H50" s="48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91">
        <f>IF(C49&gt;C14,E39-($E$38*E49)*E39/($E$39+$E$40),0)</f>
        <v>0</v>
      </c>
      <c r="AB50" s="189" t="s">
        <v>223</v>
      </c>
      <c r="AC50" s="5"/>
      <c r="AD50" s="192">
        <f>AA50*C23</f>
        <v>0</v>
      </c>
      <c r="AE50" s="5"/>
      <c r="AF50" s="5"/>
      <c r="AU50" s="53"/>
    </row>
    <row r="51" spans="1:47" ht="12.75">
      <c r="A51" s="22"/>
      <c r="B51" s="9"/>
      <c r="C51" s="10" t="s">
        <v>34</v>
      </c>
      <c r="D51" s="9"/>
      <c r="E51" s="9"/>
      <c r="F51" s="9"/>
      <c r="G51" s="9"/>
      <c r="H51" s="48">
        <f>AU46+H49</f>
        <v>489082.77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91">
        <f>IF(C49&gt;C14,E40-($E$38*E49)*E40/($E$39+$E$40),0)</f>
        <v>0</v>
      </c>
      <c r="AB51" s="190" t="s">
        <v>224</v>
      </c>
      <c r="AC51" s="39"/>
      <c r="AD51" s="192">
        <f>AA51*C24</f>
        <v>0</v>
      </c>
      <c r="AE51" s="5"/>
      <c r="AU51" s="54">
        <f>C16</f>
        <v>0</v>
      </c>
    </row>
    <row r="52" spans="1:47" ht="12.75">
      <c r="A52" s="22"/>
      <c r="B52" s="9"/>
      <c r="C52" s="9"/>
      <c r="D52" s="9"/>
      <c r="E52" s="9"/>
      <c r="F52" s="9"/>
      <c r="G52" s="9"/>
      <c r="H52" s="16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209">
        <f>H49/$C$3</f>
        <v>0</v>
      </c>
      <c r="AB52" s="131">
        <f>H49/$H$6</f>
        <v>0</v>
      </c>
      <c r="AC52" s="39"/>
      <c r="AD52" s="5"/>
      <c r="AE52" s="5"/>
      <c r="AF52" s="5"/>
      <c r="AU52" s="6">
        <f>ROUND(+E49*G49,2)</f>
        <v>0</v>
      </c>
    </row>
    <row r="53" spans="1:47" ht="12.75">
      <c r="A53" s="13" t="s">
        <v>35</v>
      </c>
      <c r="B53" s="9"/>
      <c r="C53" s="10" t="s">
        <v>8</v>
      </c>
      <c r="D53" s="23"/>
      <c r="E53" s="55">
        <f>AU54</f>
        <v>6208.8</v>
      </c>
      <c r="F53" s="43" t="s">
        <v>36</v>
      </c>
      <c r="G53" s="56">
        <f>AU55</f>
        <v>2.71</v>
      </c>
      <c r="H53" s="48">
        <f>AU56</f>
        <v>16825.85</v>
      </c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0">
        <f aca="true" t="shared" si="0" ref="AA53:AA58">H53/$C$3</f>
        <v>215.71602564102562</v>
      </c>
      <c r="AB53" s="131">
        <f aca="true" t="shared" si="1" ref="AB53:AB58">H53/$H$6</f>
        <v>2.710000322123437</v>
      </c>
      <c r="AC53" s="5"/>
      <c r="AD53" s="5"/>
      <c r="AE53" s="5"/>
      <c r="AF53" s="5"/>
      <c r="AU53" s="53">
        <f>SUM(H49:H49)</f>
        <v>0</v>
      </c>
    </row>
    <row r="54" spans="1:47" ht="12.75">
      <c r="A54" s="17"/>
      <c r="B54" s="9"/>
      <c r="C54" s="10" t="s">
        <v>10</v>
      </c>
      <c r="D54" s="9"/>
      <c r="E54" s="55">
        <f>AU57</f>
        <v>6208.8</v>
      </c>
      <c r="F54" s="43" t="s">
        <v>36</v>
      </c>
      <c r="G54" s="56">
        <f>AU58</f>
        <v>0.635</v>
      </c>
      <c r="H54" s="48">
        <f>AU59</f>
        <v>3942.59</v>
      </c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0">
        <f t="shared" si="0"/>
        <v>50.54602564102564</v>
      </c>
      <c r="AB54" s="131">
        <f t="shared" si="1"/>
        <v>0.6350003221234377</v>
      </c>
      <c r="AC54" s="5"/>
      <c r="AD54" s="5"/>
      <c r="AE54" s="5"/>
      <c r="AF54" s="5"/>
      <c r="AU54" s="57">
        <f>A38+A44</f>
        <v>6208.8</v>
      </c>
    </row>
    <row r="55" spans="1:47" ht="12.75">
      <c r="A55" s="22"/>
      <c r="B55" s="9"/>
      <c r="C55" s="10" t="s">
        <v>203</v>
      </c>
      <c r="D55" s="59"/>
      <c r="E55" s="55">
        <f>AU60</f>
        <v>6208.8</v>
      </c>
      <c r="F55" s="43" t="s">
        <v>36</v>
      </c>
      <c r="G55" s="56">
        <f>AU61</f>
        <v>1.3</v>
      </c>
      <c r="H55" s="48">
        <f>AU62</f>
        <v>8071.44</v>
      </c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30">
        <f t="shared" si="0"/>
        <v>103.47999999999999</v>
      </c>
      <c r="AB55" s="131">
        <f t="shared" si="1"/>
        <v>1.2999999999999998</v>
      </c>
      <c r="AC55" s="5"/>
      <c r="AD55" s="5"/>
      <c r="AE55" s="5"/>
      <c r="AF55" s="5"/>
      <c r="AU55" s="58">
        <f>G9</f>
        <v>2.71</v>
      </c>
    </row>
    <row r="56" spans="1:47" ht="12.75">
      <c r="A56" s="22"/>
      <c r="B56" s="9"/>
      <c r="C56" s="10" t="s">
        <v>202</v>
      </c>
      <c r="D56" s="59"/>
      <c r="E56" s="55">
        <f>AU60</f>
        <v>6208.8</v>
      </c>
      <c r="F56" s="43" t="s">
        <v>36</v>
      </c>
      <c r="G56" s="56">
        <f>AU63</f>
        <v>0.04</v>
      </c>
      <c r="H56" s="48">
        <f>AU64</f>
        <v>248.352</v>
      </c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30">
        <f t="shared" si="0"/>
        <v>3.184</v>
      </c>
      <c r="AB56" s="131">
        <f t="shared" si="1"/>
        <v>0.04</v>
      </c>
      <c r="AC56" s="39"/>
      <c r="AD56" s="5"/>
      <c r="AE56" s="5"/>
      <c r="AF56" s="5"/>
      <c r="AU56" s="6">
        <f>MAX(ROUND(E53*G53,2),(+G14*181))</f>
        <v>16825.85</v>
      </c>
    </row>
    <row r="57" spans="1:47" ht="12.75">
      <c r="A57" s="22"/>
      <c r="B57" s="9"/>
      <c r="C57" s="10" t="s">
        <v>12</v>
      </c>
      <c r="D57" s="9"/>
      <c r="E57" s="55">
        <f>AU65</f>
        <v>6208.8</v>
      </c>
      <c r="F57" s="43" t="s">
        <v>36</v>
      </c>
      <c r="G57" s="56">
        <f>AU66</f>
        <v>0.06</v>
      </c>
      <c r="H57" s="48">
        <f>AU67</f>
        <v>372.53</v>
      </c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30">
        <f t="shared" si="0"/>
        <v>4.77602564102564</v>
      </c>
      <c r="AB57" s="131">
        <f t="shared" si="1"/>
        <v>0.06000032212343769</v>
      </c>
      <c r="AC57" s="39"/>
      <c r="AD57" s="5"/>
      <c r="AE57" s="5"/>
      <c r="AF57" s="5"/>
      <c r="AU57" s="57">
        <f>A39+A44</f>
        <v>6208.8</v>
      </c>
    </row>
    <row r="58" spans="1:47" ht="12.75" hidden="1">
      <c r="A58" s="22"/>
      <c r="B58" s="9"/>
      <c r="C58" s="10"/>
      <c r="D58" s="9"/>
      <c r="E58" s="55"/>
      <c r="F58" s="43"/>
      <c r="G58" s="56"/>
      <c r="H58" s="48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30">
        <f t="shared" si="0"/>
        <v>0</v>
      </c>
      <c r="AB58" s="131">
        <f t="shared" si="1"/>
        <v>0</v>
      </c>
      <c r="AC58" s="5"/>
      <c r="AD58" s="5"/>
      <c r="AE58" s="5"/>
      <c r="AF58" s="5"/>
      <c r="AU58" s="58">
        <f>G10</f>
        <v>0.635</v>
      </c>
    </row>
    <row r="59" spans="1:47" ht="12.75">
      <c r="A59" s="22"/>
      <c r="B59" s="9"/>
      <c r="C59" s="9"/>
      <c r="D59" s="9"/>
      <c r="E59" s="9"/>
      <c r="F59" s="9"/>
      <c r="G59" s="9"/>
      <c r="H59" s="28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30"/>
      <c r="AB59" s="131"/>
      <c r="AC59" s="39"/>
      <c r="AD59" s="5"/>
      <c r="AE59" s="5"/>
      <c r="AF59" s="5"/>
      <c r="AU59" s="6">
        <f>ROUND(E54*G54,2)</f>
        <v>3942.59</v>
      </c>
    </row>
    <row r="60" spans="1:47" ht="12.75">
      <c r="A60" s="13" t="s">
        <v>37</v>
      </c>
      <c r="B60" s="9"/>
      <c r="C60" s="11"/>
      <c r="D60" s="18"/>
      <c r="E60" s="18"/>
      <c r="F60" s="9"/>
      <c r="G60" s="9"/>
      <c r="H60" s="16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56">
        <f>SUM(AA53:AA57)</f>
        <v>377.70207692307696</v>
      </c>
      <c r="AB60" s="156">
        <f>SUM(AB53:AB57)</f>
        <v>4.745000966370313</v>
      </c>
      <c r="AC60" s="39"/>
      <c r="AD60" s="5"/>
      <c r="AE60" s="5"/>
      <c r="AF60" s="5"/>
      <c r="AU60" s="57">
        <f>A40+A44</f>
        <v>6208.8</v>
      </c>
    </row>
    <row r="61" spans="1:47" ht="12.75">
      <c r="A61" s="13" t="s">
        <v>38</v>
      </c>
      <c r="B61" s="9"/>
      <c r="C61" s="52">
        <f>AU73</f>
        <v>74.03</v>
      </c>
      <c r="D61" s="10" t="s">
        <v>39</v>
      </c>
      <c r="E61" s="10" t="s">
        <v>35</v>
      </c>
      <c r="F61" s="9"/>
      <c r="G61" s="9"/>
      <c r="H61" s="48">
        <f>AU74</f>
        <v>29460.761999999995</v>
      </c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0">
        <f>H61/$C$3</f>
        <v>377.70207692307685</v>
      </c>
      <c r="AB61" s="131">
        <f>H61/$H$6</f>
        <v>4.745000966370312</v>
      </c>
      <c r="AC61" s="60"/>
      <c r="AD61" s="5"/>
      <c r="AE61" s="5"/>
      <c r="AF61" s="5"/>
      <c r="AU61" s="58">
        <f>G11</f>
        <v>1.3</v>
      </c>
    </row>
    <row r="62" spans="1:47" ht="12.75">
      <c r="A62" s="13" t="s">
        <v>38</v>
      </c>
      <c r="B62" s="9"/>
      <c r="C62" s="52">
        <f>AU75</f>
        <v>18.69</v>
      </c>
      <c r="D62" s="10" t="s">
        <v>40</v>
      </c>
      <c r="E62" s="10" t="s">
        <v>197</v>
      </c>
      <c r="F62" s="9"/>
      <c r="G62" s="21"/>
      <c r="H62" s="48">
        <f>AU76</f>
        <v>459622.00800000003</v>
      </c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30"/>
      <c r="AB62" s="131"/>
      <c r="AC62" s="60"/>
      <c r="AD62" s="5"/>
      <c r="AE62" s="5"/>
      <c r="AF62" s="5"/>
      <c r="AU62" s="6">
        <f>ROUND(E55*G55,2)</f>
        <v>8071.44</v>
      </c>
    </row>
    <row r="63" spans="1:47" ht="12.75">
      <c r="A63" s="22"/>
      <c r="B63" s="9"/>
      <c r="C63" s="9"/>
      <c r="D63" s="9"/>
      <c r="E63" s="18"/>
      <c r="F63" s="18"/>
      <c r="G63" s="18"/>
      <c r="H63" s="28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6"/>
      <c r="AB63" s="157"/>
      <c r="AC63" s="60"/>
      <c r="AD63" s="5"/>
      <c r="AE63" s="5"/>
      <c r="AF63" s="5"/>
      <c r="AU63" s="58">
        <f>G12</f>
        <v>0.04</v>
      </c>
    </row>
    <row r="64" spans="1:47" ht="12.75">
      <c r="A64" s="13" t="s">
        <v>41</v>
      </c>
      <c r="B64" s="9"/>
      <c r="C64" s="9"/>
      <c r="D64" s="9"/>
      <c r="E64" s="43" t="s">
        <v>42</v>
      </c>
      <c r="F64" s="43" t="s">
        <v>43</v>
      </c>
      <c r="G64" s="43" t="s">
        <v>44</v>
      </c>
      <c r="H64" s="20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56"/>
      <c r="AB64" s="157"/>
      <c r="AC64" s="5"/>
      <c r="AD64" s="5"/>
      <c r="AE64" s="5"/>
      <c r="AF64" s="5"/>
      <c r="AU64" s="6">
        <f>E56*G56</f>
        <v>248.352</v>
      </c>
    </row>
    <row r="65" spans="1:47" ht="12.75">
      <c r="A65" s="13" t="s">
        <v>45</v>
      </c>
      <c r="B65" s="9"/>
      <c r="C65" s="18"/>
      <c r="D65" s="9"/>
      <c r="E65" s="14">
        <v>29</v>
      </c>
      <c r="F65" s="14">
        <v>100</v>
      </c>
      <c r="G65" s="43">
        <f aca="true" t="shared" si="2" ref="G65:G70">AU77</f>
        <v>2900</v>
      </c>
      <c r="H65" s="20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0">
        <f>G65/$C$3</f>
        <v>37.17948717948718</v>
      </c>
      <c r="AB65" s="131">
        <f>G65/$H$6</f>
        <v>0.4670789846669244</v>
      </c>
      <c r="AC65" s="39"/>
      <c r="AD65" s="5"/>
      <c r="AE65" s="5"/>
      <c r="AF65" s="5"/>
      <c r="AU65" s="57">
        <f>A38+A44</f>
        <v>6208.8</v>
      </c>
    </row>
    <row r="66" spans="1:47" ht="12.75">
      <c r="A66" s="13" t="s">
        <v>213</v>
      </c>
      <c r="B66" s="9"/>
      <c r="C66" s="9"/>
      <c r="D66" s="9"/>
      <c r="E66" s="14">
        <v>0</v>
      </c>
      <c r="F66" s="14">
        <v>350</v>
      </c>
      <c r="G66" s="43">
        <f t="shared" si="2"/>
        <v>0</v>
      </c>
      <c r="H66" s="20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0">
        <f aca="true" t="shared" si="3" ref="AA66:AA72">G66/$C$3</f>
        <v>0</v>
      </c>
      <c r="AB66" s="131">
        <f aca="true" t="shared" si="4" ref="AB66:AB72">G66/$H$6</f>
        <v>0</v>
      </c>
      <c r="AC66" s="5"/>
      <c r="AD66" s="5"/>
      <c r="AE66" s="5"/>
      <c r="AF66" s="5"/>
      <c r="AU66" s="58">
        <f>G13</f>
        <v>0.06</v>
      </c>
    </row>
    <row r="67" spans="1:47" ht="12.75">
      <c r="A67" s="13" t="s">
        <v>46</v>
      </c>
      <c r="B67" s="9"/>
      <c r="C67" s="18"/>
      <c r="D67" s="9"/>
      <c r="E67" s="14">
        <v>2</v>
      </c>
      <c r="F67" s="14">
        <v>1200</v>
      </c>
      <c r="G67" s="43">
        <f t="shared" si="2"/>
        <v>2400</v>
      </c>
      <c r="H67" s="20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0">
        <f t="shared" si="3"/>
        <v>30.76923076923077</v>
      </c>
      <c r="AB67" s="131">
        <f t="shared" si="4"/>
        <v>0.38654812524159254</v>
      </c>
      <c r="AC67" s="5"/>
      <c r="AD67" s="5"/>
      <c r="AE67" s="5"/>
      <c r="AF67" s="5"/>
      <c r="AU67" s="6">
        <f>ROUND(E57*G57,2)</f>
        <v>372.53</v>
      </c>
    </row>
    <row r="68" spans="1:47" ht="12.75">
      <c r="A68" s="13" t="s">
        <v>47</v>
      </c>
      <c r="B68" s="9"/>
      <c r="C68" s="9"/>
      <c r="D68" s="9"/>
      <c r="E68" s="14">
        <v>22</v>
      </c>
      <c r="F68" s="14">
        <v>800</v>
      </c>
      <c r="G68" s="43">
        <f t="shared" si="2"/>
        <v>17600</v>
      </c>
      <c r="H68" s="20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0">
        <f t="shared" si="3"/>
        <v>225.64102564102564</v>
      </c>
      <c r="AB68" s="131">
        <f t="shared" si="4"/>
        <v>2.8346862517716787</v>
      </c>
      <c r="AC68" s="5"/>
      <c r="AD68" s="5"/>
      <c r="AE68" s="5"/>
      <c r="AF68" s="5"/>
      <c r="AU68" s="6">
        <f>IF(G18=0,"","Over Quota Charge")</f>
      </c>
    </row>
    <row r="69" spans="1:47" ht="12.75">
      <c r="A69" s="13" t="s">
        <v>48</v>
      </c>
      <c r="B69" s="9"/>
      <c r="C69" s="18"/>
      <c r="D69" s="9"/>
      <c r="E69" s="14">
        <v>2</v>
      </c>
      <c r="F69" s="14">
        <v>1450</v>
      </c>
      <c r="G69" s="43">
        <f t="shared" si="2"/>
        <v>2900</v>
      </c>
      <c r="H69" s="20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0">
        <f t="shared" si="3"/>
        <v>37.17948717948718</v>
      </c>
      <c r="AB69" s="131">
        <f t="shared" si="4"/>
        <v>0.4670789846669244</v>
      </c>
      <c r="AC69" s="5"/>
      <c r="AD69" s="5"/>
      <c r="AE69" s="5"/>
      <c r="AF69" s="5"/>
      <c r="AU69" s="6">
        <f>IF(AU68="","",AU41)</f>
      </c>
    </row>
    <row r="70" spans="1:47" ht="12.75">
      <c r="A70" s="194" t="s">
        <v>49</v>
      </c>
      <c r="B70" s="101" t="s">
        <v>50</v>
      </c>
      <c r="C70" s="9"/>
      <c r="D70" s="9"/>
      <c r="E70" s="14">
        <v>0</v>
      </c>
      <c r="F70" s="14">
        <v>0</v>
      </c>
      <c r="G70" s="43">
        <f t="shared" si="2"/>
        <v>0</v>
      </c>
      <c r="H70" s="20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0">
        <f t="shared" si="3"/>
        <v>0</v>
      </c>
      <c r="AB70" s="131">
        <f t="shared" si="4"/>
        <v>0</v>
      </c>
      <c r="AC70" s="5"/>
      <c r="AD70" s="5"/>
      <c r="AE70" s="5"/>
      <c r="AF70" s="5"/>
      <c r="AU70" s="6">
        <f>IF(AU69="","","X")</f>
      </c>
    </row>
    <row r="71" spans="1:47" ht="12.75">
      <c r="A71" s="13" t="s">
        <v>51</v>
      </c>
      <c r="B71" s="34" t="s">
        <v>52</v>
      </c>
      <c r="C71" s="18"/>
      <c r="D71" s="9"/>
      <c r="E71" s="43" t="s">
        <v>52</v>
      </c>
      <c r="F71" s="23"/>
      <c r="G71" s="43" t="s">
        <v>52</v>
      </c>
      <c r="H71" s="20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8"/>
      <c r="AB71" s="139"/>
      <c r="AC71" s="39"/>
      <c r="AD71" s="5"/>
      <c r="AE71" s="5"/>
      <c r="AF71" s="5"/>
      <c r="AU71" s="6">
        <f>IF(AU70="","",G18)</f>
      </c>
    </row>
    <row r="72" spans="1:47" ht="12.75">
      <c r="A72" s="13" t="s">
        <v>53</v>
      </c>
      <c r="B72" s="9"/>
      <c r="C72" s="9"/>
      <c r="D72" s="9"/>
      <c r="E72" s="43">
        <f>AU83</f>
        <v>55</v>
      </c>
      <c r="F72" s="23"/>
      <c r="G72" s="43">
        <f>AU84</f>
        <v>25800</v>
      </c>
      <c r="H72" s="20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0">
        <f t="shared" si="3"/>
        <v>330.7692307692308</v>
      </c>
      <c r="AB72" s="131">
        <f t="shared" si="4"/>
        <v>4.15539234634712</v>
      </c>
      <c r="AC72" s="39"/>
      <c r="AD72" s="5"/>
      <c r="AE72" s="5"/>
      <c r="AF72" s="5"/>
      <c r="AU72" s="6">
        <f>IF(AU71="","",E58*G58)</f>
      </c>
    </row>
    <row r="73" spans="1:47" ht="12.75">
      <c r="A73" s="91"/>
      <c r="B73" s="91"/>
      <c r="C73" s="91"/>
      <c r="D73" s="91"/>
      <c r="E73" s="91"/>
      <c r="F73" s="91"/>
      <c r="G73" s="91"/>
      <c r="H73" s="91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8"/>
      <c r="AB73" s="139"/>
      <c r="AC73" s="39"/>
      <c r="AD73" s="5"/>
      <c r="AE73" s="5"/>
      <c r="AF73" s="5"/>
      <c r="AU73" s="6">
        <f>ROUND(H62/H6,2)</f>
        <v>74.03</v>
      </c>
    </row>
    <row r="74" spans="1:47" ht="12.75" hidden="1">
      <c r="A74" s="13" t="s">
        <v>54</v>
      </c>
      <c r="B74" s="9"/>
      <c r="C74" s="9"/>
      <c r="D74" s="9"/>
      <c r="E74" s="9"/>
      <c r="F74" s="90">
        <f>C3</f>
        <v>78</v>
      </c>
      <c r="G74" s="10" t="s">
        <v>55</v>
      </c>
      <c r="H74" s="20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38"/>
      <c r="AB74" s="139"/>
      <c r="AC74" s="39"/>
      <c r="AD74" s="5"/>
      <c r="AE74" s="25"/>
      <c r="AF74" s="5"/>
      <c r="AU74" s="53">
        <f>SUM(H53:H60)</f>
        <v>29460.761999999995</v>
      </c>
    </row>
    <row r="75" spans="1:47" ht="12.75" hidden="1">
      <c r="A75" s="13" t="s">
        <v>193</v>
      </c>
      <c r="B75" s="9"/>
      <c r="C75" s="9"/>
      <c r="D75" s="9"/>
      <c r="E75" s="9"/>
      <c r="F75" s="61"/>
      <c r="G75" s="21"/>
      <c r="H75" s="20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46"/>
      <c r="AB75" s="147"/>
      <c r="AC75" s="5"/>
      <c r="AD75" s="5"/>
      <c r="AE75" s="25"/>
      <c r="AF75" s="5"/>
      <c r="AU75" s="6">
        <f>ROUND(H62/(E38+E44),2)</f>
        <v>18.69</v>
      </c>
    </row>
    <row r="76" spans="1:47" ht="12.75" hidden="1">
      <c r="A76" s="22"/>
      <c r="B76" s="9"/>
      <c r="C76" s="9"/>
      <c r="D76" s="9"/>
      <c r="E76" s="9"/>
      <c r="F76" s="23"/>
      <c r="G76" s="21"/>
      <c r="H76" s="20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8"/>
      <c r="AB76" s="139"/>
      <c r="AC76" s="62"/>
      <c r="AD76" s="5"/>
      <c r="AE76" s="25"/>
      <c r="AF76" s="5"/>
      <c r="AU76" s="53">
        <f>H51-H61</f>
        <v>459622.00800000003</v>
      </c>
    </row>
    <row r="77" spans="1:47" ht="12.75">
      <c r="A77" s="13" t="s">
        <v>56</v>
      </c>
      <c r="B77" s="9"/>
      <c r="C77" s="9"/>
      <c r="D77" s="9"/>
      <c r="E77" s="43" t="s">
        <v>57</v>
      </c>
      <c r="F77" s="38"/>
      <c r="G77" s="55"/>
      <c r="H77" s="63" t="s">
        <v>57</v>
      </c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8"/>
      <c r="AB77" s="139"/>
      <c r="AC77" s="5"/>
      <c r="AD77" s="5"/>
      <c r="AE77" s="25"/>
      <c r="AF77" s="5"/>
      <c r="AU77" s="6">
        <f aca="true" t="shared" si="5" ref="AU77:AU82">E65*F65</f>
        <v>2900</v>
      </c>
    </row>
    <row r="78" spans="1:47" ht="12.75">
      <c r="A78" s="22"/>
      <c r="B78" s="9"/>
      <c r="C78" s="18"/>
      <c r="D78" s="23"/>
      <c r="E78" s="43" t="str">
        <f>AU85</f>
        <v>  78 Cows</v>
      </c>
      <c r="F78" s="43" t="s">
        <v>58</v>
      </c>
      <c r="G78" s="43" t="s">
        <v>9</v>
      </c>
      <c r="H78" s="63" t="str">
        <f>AU86</f>
        <v>  78 Cows</v>
      </c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38"/>
      <c r="AB78" s="139"/>
      <c r="AC78" s="5"/>
      <c r="AD78" s="5"/>
      <c r="AE78" s="25"/>
      <c r="AF78" s="5"/>
      <c r="AU78" s="6">
        <f t="shared" si="5"/>
        <v>0</v>
      </c>
    </row>
    <row r="79" spans="1:47" ht="12.75">
      <c r="A79" s="13" t="s">
        <v>59</v>
      </c>
      <c r="B79" s="9"/>
      <c r="C79" s="18"/>
      <c r="D79" s="9"/>
      <c r="E79" s="43" t="s">
        <v>52</v>
      </c>
      <c r="F79" s="43" t="s">
        <v>60</v>
      </c>
      <c r="G79" s="43" t="s">
        <v>52</v>
      </c>
      <c r="H79" s="63" t="s">
        <v>51</v>
      </c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2"/>
      <c r="AB79" s="143"/>
      <c r="AC79" s="25"/>
      <c r="AD79" s="25"/>
      <c r="AE79" s="5"/>
      <c r="AF79" s="5"/>
      <c r="AU79" s="6">
        <f t="shared" si="5"/>
        <v>2400</v>
      </c>
    </row>
    <row r="80" spans="1:47" ht="12.75">
      <c r="A80" s="13" t="s">
        <v>61</v>
      </c>
      <c r="B80" s="9"/>
      <c r="C80" s="10" t="s">
        <v>62</v>
      </c>
      <c r="D80" s="9"/>
      <c r="E80" s="9"/>
      <c r="F80" s="23"/>
      <c r="G80" s="21"/>
      <c r="H80" s="20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2"/>
      <c r="AB80" s="143"/>
      <c r="AC80" s="5"/>
      <c r="AD80" s="5"/>
      <c r="AE80" s="5"/>
      <c r="AF80" s="5"/>
      <c r="AU80" s="6">
        <f t="shared" si="5"/>
        <v>17600</v>
      </c>
    </row>
    <row r="81" spans="1:47" ht="12.75">
      <c r="A81" s="13" t="s">
        <v>63</v>
      </c>
      <c r="B81" s="9"/>
      <c r="C81" s="10" t="s">
        <v>62</v>
      </c>
      <c r="D81" s="9"/>
      <c r="E81" s="14">
        <v>0</v>
      </c>
      <c r="F81" s="55">
        <f>AU87</f>
        <v>0</v>
      </c>
      <c r="G81" s="38">
        <f>AU88</f>
        <v>0</v>
      </c>
      <c r="H81" s="19">
        <f>AU89</f>
        <v>0</v>
      </c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42"/>
      <c r="AB81" s="143"/>
      <c r="AC81" s="39"/>
      <c r="AD81" s="5"/>
      <c r="AE81" s="25"/>
      <c r="AF81" s="5"/>
      <c r="AU81" s="6">
        <f t="shared" si="5"/>
        <v>2900</v>
      </c>
    </row>
    <row r="82" spans="1:47" ht="12.75">
      <c r="A82" s="13" t="s">
        <v>64</v>
      </c>
      <c r="B82" s="9"/>
      <c r="C82" s="10" t="s">
        <v>62</v>
      </c>
      <c r="D82" s="9"/>
      <c r="E82" s="14">
        <v>8800</v>
      </c>
      <c r="F82" s="55">
        <f>AU90</f>
        <v>112.82051282051282</v>
      </c>
      <c r="G82" s="38">
        <f>AU91</f>
        <v>1.4173431258858393</v>
      </c>
      <c r="H82" s="19">
        <f>AU92</f>
        <v>8800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8"/>
      <c r="AB82" s="139"/>
      <c r="AC82" s="39"/>
      <c r="AD82" s="5"/>
      <c r="AE82" s="5"/>
      <c r="AF82" s="5"/>
      <c r="AU82" s="6">
        <f t="shared" si="5"/>
        <v>0</v>
      </c>
    </row>
    <row r="83" spans="1:47" ht="12.75">
      <c r="A83" s="13" t="s">
        <v>65</v>
      </c>
      <c r="B83" s="9"/>
      <c r="C83" s="9"/>
      <c r="D83" s="9"/>
      <c r="E83" s="14">
        <v>32500</v>
      </c>
      <c r="F83" s="55">
        <f>AU93</f>
        <v>416.6666666666667</v>
      </c>
      <c r="G83" s="38">
        <f>AU94</f>
        <v>5.234505862646566</v>
      </c>
      <c r="H83" s="19">
        <f>AU95</f>
        <v>32500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6"/>
      <c r="AB83" s="137"/>
      <c r="AC83" s="5"/>
      <c r="AD83" s="5"/>
      <c r="AE83" s="5"/>
      <c r="AF83" s="5"/>
      <c r="AU83" s="6">
        <f>SUM(E65:E70)</f>
        <v>55</v>
      </c>
    </row>
    <row r="84" spans="1:47" ht="12.75">
      <c r="A84" s="13" t="s">
        <v>66</v>
      </c>
      <c r="B84" s="9"/>
      <c r="C84" s="9"/>
      <c r="D84" s="9"/>
      <c r="E84" s="14">
        <v>8500</v>
      </c>
      <c r="F84" s="55">
        <f>AU96</f>
        <v>108.97435897435898</v>
      </c>
      <c r="G84" s="38">
        <f>AU97</f>
        <v>1.3690246102306403</v>
      </c>
      <c r="H84" s="19">
        <f>AU98</f>
        <v>8500</v>
      </c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6"/>
      <c r="AB84" s="137"/>
      <c r="AC84" s="39"/>
      <c r="AD84" s="5"/>
      <c r="AE84" s="5"/>
      <c r="AF84" s="5"/>
      <c r="AU84" s="6">
        <f>SUM(G65:G70)</f>
        <v>25800</v>
      </c>
    </row>
    <row r="85" spans="1:47" ht="12.75">
      <c r="A85" s="194" t="s">
        <v>230</v>
      </c>
      <c r="B85" s="9"/>
      <c r="C85" s="9"/>
      <c r="D85" s="9"/>
      <c r="E85" s="14">
        <v>6000</v>
      </c>
      <c r="F85" s="55">
        <f>AU99</f>
        <v>76.92307692307692</v>
      </c>
      <c r="G85" s="38">
        <f>AU100</f>
        <v>0.9663703131039815</v>
      </c>
      <c r="H85" s="19">
        <f>AU101</f>
        <v>6000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6"/>
      <c r="AB85" s="137"/>
      <c r="AC85" s="39"/>
      <c r="AD85" s="5"/>
      <c r="AE85" s="5"/>
      <c r="AF85" s="5"/>
      <c r="AU85" s="6" t="str">
        <f>"  "&amp;FIXED(F74,0,TRUE)&amp;" Cows"</f>
        <v>  78 Cows</v>
      </c>
    </row>
    <row r="86" spans="1:47" ht="12.75" hidden="1">
      <c r="A86" s="22"/>
      <c r="B86" s="9"/>
      <c r="C86" s="9"/>
      <c r="D86" s="9"/>
      <c r="E86" s="23"/>
      <c r="F86" s="23"/>
      <c r="G86" s="21"/>
      <c r="H86" s="20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6"/>
      <c r="AB86" s="137"/>
      <c r="AC86" s="5"/>
      <c r="AD86" s="5"/>
      <c r="AE86" s="5"/>
      <c r="AF86" s="5"/>
      <c r="AU86" s="6" t="str">
        <f>"  "&amp;FIXED(C3,0,TRUE)&amp;" Cows"</f>
        <v>  78 Cows</v>
      </c>
    </row>
    <row r="87" spans="1:47" ht="12.75" hidden="1">
      <c r="A87" s="111" t="s">
        <v>67</v>
      </c>
      <c r="B87" s="108"/>
      <c r="C87" s="108"/>
      <c r="D87" s="108"/>
      <c r="E87" s="112"/>
      <c r="F87" s="112"/>
      <c r="G87" s="113"/>
      <c r="H87" s="114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6"/>
      <c r="AB87" s="137"/>
      <c r="AC87" s="39"/>
      <c r="AD87" s="5"/>
      <c r="AE87" s="5"/>
      <c r="AF87" s="5"/>
      <c r="AU87" s="6">
        <f>E81/F74</f>
        <v>0</v>
      </c>
    </row>
    <row r="88" spans="1:47" ht="12.75">
      <c r="A88" s="111" t="s">
        <v>68</v>
      </c>
      <c r="B88" s="108"/>
      <c r="C88" s="115"/>
      <c r="D88" s="118">
        <f>F74</f>
        <v>78</v>
      </c>
      <c r="E88" s="106" t="s">
        <v>69</v>
      </c>
      <c r="F88" s="107">
        <f>AU102</f>
        <v>0</v>
      </c>
      <c r="G88" s="116">
        <f>AU103</f>
        <v>0</v>
      </c>
      <c r="H88" s="117">
        <f>AU104</f>
        <v>0</v>
      </c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38"/>
      <c r="AB88" s="139"/>
      <c r="AC88" s="39"/>
      <c r="AD88" s="5"/>
      <c r="AE88" s="25"/>
      <c r="AF88" s="5"/>
      <c r="AU88" s="6">
        <f>H81/H6</f>
        <v>0</v>
      </c>
    </row>
    <row r="89" spans="1:47" ht="12.75">
      <c r="A89" s="22" t="s">
        <v>192</v>
      </c>
      <c r="B89" s="18"/>
      <c r="C89" s="9"/>
      <c r="D89" s="9"/>
      <c r="E89" s="43" t="s">
        <v>57</v>
      </c>
      <c r="F89" s="38"/>
      <c r="G89" s="55"/>
      <c r="H89" s="63" t="s">
        <v>57</v>
      </c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58"/>
      <c r="AB89" s="159"/>
      <c r="AC89" s="39"/>
      <c r="AD89" s="5"/>
      <c r="AE89" s="25"/>
      <c r="AF89" s="5"/>
      <c r="AU89" s="6">
        <f>F81*C3</f>
        <v>0</v>
      </c>
    </row>
    <row r="90" spans="1:47" ht="12.75">
      <c r="A90" s="22"/>
      <c r="B90" s="9"/>
      <c r="C90" s="14" t="s">
        <v>70</v>
      </c>
      <c r="D90" s="14" t="s">
        <v>71</v>
      </c>
      <c r="E90" s="43" t="str">
        <f>AU85</f>
        <v>  78 Cows</v>
      </c>
      <c r="F90" s="43" t="s">
        <v>58</v>
      </c>
      <c r="G90" s="43" t="s">
        <v>9</v>
      </c>
      <c r="H90" s="63" t="str">
        <f>AU86</f>
        <v>  78 Cows</v>
      </c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60"/>
      <c r="AB90" s="161"/>
      <c r="AC90" s="39"/>
      <c r="AD90" s="49"/>
      <c r="AE90" s="25"/>
      <c r="AF90" s="5"/>
      <c r="AU90" s="6">
        <f>E82/F74</f>
        <v>112.82051282051282</v>
      </c>
    </row>
    <row r="91" spans="1:47" ht="12.75">
      <c r="A91" s="22"/>
      <c r="B91" s="10"/>
      <c r="C91" s="9"/>
      <c r="D91" s="9"/>
      <c r="E91" s="43" t="s">
        <v>60</v>
      </c>
      <c r="F91" s="43" t="s">
        <v>60</v>
      </c>
      <c r="G91" s="43" t="s">
        <v>60</v>
      </c>
      <c r="H91" s="63" t="s">
        <v>51</v>
      </c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8"/>
      <c r="AB91" s="139"/>
      <c r="AC91" s="5"/>
      <c r="AD91" s="49"/>
      <c r="AE91" s="25"/>
      <c r="AF91" s="5"/>
      <c r="AU91" s="6">
        <f>H82/H6</f>
        <v>1.4173431258858393</v>
      </c>
    </row>
    <row r="92" spans="1:47" ht="12.75">
      <c r="A92" s="13" t="s">
        <v>72</v>
      </c>
      <c r="B92" s="102" t="s">
        <v>186</v>
      </c>
      <c r="C92" s="14">
        <v>0</v>
      </c>
      <c r="D92" s="14">
        <v>240</v>
      </c>
      <c r="E92" s="43">
        <f>AU105</f>
        <v>0</v>
      </c>
      <c r="F92" s="55">
        <f>AU106</f>
        <v>0</v>
      </c>
      <c r="G92" s="38">
        <f>AU107</f>
        <v>0</v>
      </c>
      <c r="H92" s="19">
        <f>AU108</f>
        <v>0</v>
      </c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8"/>
      <c r="AB92" s="139"/>
      <c r="AC92" s="49"/>
      <c r="AD92" s="49"/>
      <c r="AE92" s="5"/>
      <c r="AF92" s="5"/>
      <c r="AU92" s="6">
        <f>F82*C3</f>
        <v>8800</v>
      </c>
    </row>
    <row r="93" spans="1:47" ht="12.75">
      <c r="A93" s="13" t="s">
        <v>74</v>
      </c>
      <c r="B93" s="102" t="s">
        <v>187</v>
      </c>
      <c r="C93" s="14">
        <v>25</v>
      </c>
      <c r="D93" s="14">
        <v>250</v>
      </c>
      <c r="E93" s="43">
        <f>AU109</f>
        <v>6250</v>
      </c>
      <c r="F93" s="55">
        <f>AU110</f>
        <v>80.12820512820512</v>
      </c>
      <c r="G93" s="38">
        <f>AU111</f>
        <v>1.0066357428166472</v>
      </c>
      <c r="H93" s="19">
        <f>AU112</f>
        <v>6250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8"/>
      <c r="AB93" s="139"/>
      <c r="AC93" s="49"/>
      <c r="AD93" s="49"/>
      <c r="AE93" s="5"/>
      <c r="AF93" s="5"/>
      <c r="AU93" s="6">
        <f>E83/F74</f>
        <v>416.6666666666667</v>
      </c>
    </row>
    <row r="94" spans="1:47" ht="12.75">
      <c r="A94" s="13" t="s">
        <v>75</v>
      </c>
      <c r="B94" s="102" t="s">
        <v>73</v>
      </c>
      <c r="C94" s="14">
        <v>98</v>
      </c>
      <c r="D94" s="14">
        <v>300</v>
      </c>
      <c r="E94" s="43">
        <f>AU113</f>
        <v>29400</v>
      </c>
      <c r="F94" s="55">
        <f>AU114</f>
        <v>376.9230769230769</v>
      </c>
      <c r="G94" s="38">
        <f>AU115</f>
        <v>4.735214534209509</v>
      </c>
      <c r="H94" s="19">
        <f>AU116</f>
        <v>29400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6"/>
      <c r="AB94" s="137"/>
      <c r="AC94" s="5"/>
      <c r="AD94" s="49"/>
      <c r="AE94" s="5"/>
      <c r="AF94" s="5"/>
      <c r="AU94" s="6">
        <f>H83/H6</f>
        <v>5.234505862646566</v>
      </c>
    </row>
    <row r="95" spans="1:47" ht="12.75">
      <c r="A95" s="13" t="s">
        <v>77</v>
      </c>
      <c r="B95" s="110" t="s">
        <v>190</v>
      </c>
      <c r="C95" s="14">
        <v>2</v>
      </c>
      <c r="D95" s="14">
        <v>225</v>
      </c>
      <c r="E95" s="43">
        <f>AU117</f>
        <v>450</v>
      </c>
      <c r="F95" s="55">
        <f>AU118</f>
        <v>5.769230769230769</v>
      </c>
      <c r="G95" s="38">
        <f>AU119</f>
        <v>0.0724777734827986</v>
      </c>
      <c r="H95" s="19">
        <f>AU120</f>
        <v>450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6"/>
      <c r="AB95" s="137"/>
      <c r="AC95" s="5"/>
      <c r="AD95" s="5"/>
      <c r="AE95" s="5"/>
      <c r="AF95" s="5"/>
      <c r="AU95" s="6">
        <f>F83*C3</f>
        <v>32500</v>
      </c>
    </row>
    <row r="96" spans="1:47" ht="12.75">
      <c r="A96" s="13" t="s">
        <v>78</v>
      </c>
      <c r="B96" s="102" t="s">
        <v>188</v>
      </c>
      <c r="C96" s="14">
        <v>625</v>
      </c>
      <c r="D96" s="36">
        <v>50</v>
      </c>
      <c r="E96" s="43">
        <f>AU121</f>
        <v>31250</v>
      </c>
      <c r="F96" s="55">
        <f>AU122</f>
        <v>400.64102564102564</v>
      </c>
      <c r="G96" s="38">
        <f>AU123</f>
        <v>5.0331787140832365</v>
      </c>
      <c r="H96" s="19">
        <f>AU124</f>
        <v>31250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6"/>
      <c r="AB96" s="137"/>
      <c r="AC96" s="5"/>
      <c r="AD96" s="5"/>
      <c r="AE96" s="5"/>
      <c r="AF96" s="5"/>
      <c r="AU96" s="6">
        <f>E84/F74</f>
        <v>108.97435897435898</v>
      </c>
    </row>
    <row r="97" spans="1:47" ht="12.75">
      <c r="A97" s="13" t="s">
        <v>74</v>
      </c>
      <c r="B97" s="102" t="s">
        <v>199</v>
      </c>
      <c r="C97" s="14">
        <v>88</v>
      </c>
      <c r="D97" s="36">
        <v>120</v>
      </c>
      <c r="E97" s="43">
        <f>AU125</f>
        <v>10560</v>
      </c>
      <c r="F97" s="55">
        <f>AU126</f>
        <v>135.3846153846154</v>
      </c>
      <c r="G97" s="38">
        <f>AU127</f>
        <v>1.7008117510630072</v>
      </c>
      <c r="H97" s="19">
        <f>AU128</f>
        <v>10560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6"/>
      <c r="AB97" s="137"/>
      <c r="AC97" s="49"/>
      <c r="AD97" s="60"/>
      <c r="AE97" s="5"/>
      <c r="AF97" s="5"/>
      <c r="AU97" s="6">
        <f>H84/H6</f>
        <v>1.3690246102306403</v>
      </c>
    </row>
    <row r="98" spans="1:47" ht="12.75">
      <c r="A98" s="13" t="s">
        <v>75</v>
      </c>
      <c r="B98" s="102" t="s">
        <v>198</v>
      </c>
      <c r="C98" s="14">
        <v>466</v>
      </c>
      <c r="D98" s="14">
        <v>60</v>
      </c>
      <c r="E98" s="43">
        <f>AU129</f>
        <v>27960</v>
      </c>
      <c r="F98" s="55">
        <f>AU130</f>
        <v>358.46153846153845</v>
      </c>
      <c r="G98" s="38">
        <f>AU131</f>
        <v>4.503285659064553</v>
      </c>
      <c r="H98" s="19">
        <f>AU132</f>
        <v>27960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6"/>
      <c r="AB98" s="137"/>
      <c r="AC98" s="5"/>
      <c r="AD98" s="5"/>
      <c r="AE98" s="5"/>
      <c r="AF98" s="5"/>
      <c r="AU98" s="6">
        <f>F84*C3</f>
        <v>8500</v>
      </c>
    </row>
    <row r="99" spans="1:47" ht="12.75">
      <c r="A99" s="13" t="s">
        <v>77</v>
      </c>
      <c r="B99" s="102" t="s">
        <v>189</v>
      </c>
      <c r="C99" s="14">
        <v>0</v>
      </c>
      <c r="D99" s="14">
        <v>75</v>
      </c>
      <c r="E99" s="43">
        <f>AU133</f>
        <v>0</v>
      </c>
      <c r="F99" s="55">
        <f>AU134</f>
        <v>0</v>
      </c>
      <c r="G99" s="38">
        <f>AU135</f>
        <v>0</v>
      </c>
      <c r="H99" s="19">
        <f>AU136</f>
        <v>0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6"/>
      <c r="AB99" s="137"/>
      <c r="AC99" s="49"/>
      <c r="AD99" s="5"/>
      <c r="AE99" s="5"/>
      <c r="AF99" s="5"/>
      <c r="AU99" s="6">
        <f>E85/F74</f>
        <v>76.92307692307692</v>
      </c>
    </row>
    <row r="100" spans="1:47" ht="12.75">
      <c r="A100" s="13" t="s">
        <v>200</v>
      </c>
      <c r="B100" s="102" t="s">
        <v>190</v>
      </c>
      <c r="C100" s="14">
        <v>0</v>
      </c>
      <c r="D100" s="14">
        <v>60</v>
      </c>
      <c r="E100" s="43">
        <f>AU137</f>
        <v>0</v>
      </c>
      <c r="F100" s="55">
        <f>AU138</f>
        <v>0</v>
      </c>
      <c r="G100" s="38">
        <f>AU139</f>
        <v>0</v>
      </c>
      <c r="H100" s="19">
        <f>AU140</f>
        <v>0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6"/>
      <c r="AB100" s="137"/>
      <c r="AC100" s="49"/>
      <c r="AD100" s="5"/>
      <c r="AE100" s="5"/>
      <c r="AF100" s="5"/>
      <c r="AU100" s="6">
        <f>H85/H6</f>
        <v>0.9663703131039815</v>
      </c>
    </row>
    <row r="101" spans="1:47" ht="12.75">
      <c r="A101" s="22"/>
      <c r="B101" s="9"/>
      <c r="C101" s="9"/>
      <c r="D101" s="9"/>
      <c r="E101" s="23"/>
      <c r="F101" s="43" t="s">
        <v>79</v>
      </c>
      <c r="G101" s="43" t="s">
        <v>79</v>
      </c>
      <c r="H101" s="63" t="s">
        <v>79</v>
      </c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36"/>
      <c r="AB101" s="137"/>
      <c r="AC101" s="49"/>
      <c r="AD101" s="5"/>
      <c r="AE101" s="5"/>
      <c r="AF101" s="5"/>
      <c r="AU101" s="6">
        <f>F85*C3</f>
        <v>6000</v>
      </c>
    </row>
    <row r="102" spans="1:47" ht="12.75">
      <c r="A102" s="13" t="s">
        <v>80</v>
      </c>
      <c r="B102" s="9"/>
      <c r="C102" s="9"/>
      <c r="D102" s="9"/>
      <c r="E102" s="23"/>
      <c r="F102" s="55">
        <f>AU141</f>
        <v>2072.6923076923076</v>
      </c>
      <c r="G102" s="38">
        <f>AU142</f>
        <v>26.03884808658678</v>
      </c>
      <c r="H102" s="19">
        <f>AU143</f>
        <v>161670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42"/>
      <c r="AB102" s="143"/>
      <c r="AC102" s="5"/>
      <c r="AD102" s="5"/>
      <c r="AE102" s="5"/>
      <c r="AF102" s="5"/>
      <c r="AU102" s="6">
        <f ca="1">IF(AE20=0,0,HLOOKUP(A1,INDIRECT(AE20),12,FALSE)/D88)</f>
        <v>0</v>
      </c>
    </row>
    <row r="103" spans="1:47" ht="12.75" hidden="1">
      <c r="A103" s="22"/>
      <c r="B103" s="9"/>
      <c r="C103" s="9"/>
      <c r="D103" s="9"/>
      <c r="E103" s="23"/>
      <c r="F103" s="23"/>
      <c r="G103" s="21"/>
      <c r="H103" s="20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6"/>
      <c r="AB103" s="137"/>
      <c r="AC103" s="5"/>
      <c r="AD103" s="5"/>
      <c r="AE103" s="5"/>
      <c r="AF103" s="5"/>
      <c r="AU103" s="6">
        <f>H88/H6</f>
        <v>0</v>
      </c>
    </row>
    <row r="104" spans="1:47" ht="12.75" hidden="1">
      <c r="A104" s="22"/>
      <c r="B104" s="9"/>
      <c r="C104" s="9"/>
      <c r="D104" s="9"/>
      <c r="E104" s="9"/>
      <c r="F104" s="9"/>
      <c r="G104" s="9"/>
      <c r="H104" s="16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8"/>
      <c r="AB104" s="139"/>
      <c r="AC104" s="49"/>
      <c r="AD104" s="5"/>
      <c r="AE104" s="5"/>
      <c r="AF104" s="5"/>
      <c r="AU104" s="6">
        <f>F88*C3</f>
        <v>0</v>
      </c>
    </row>
    <row r="105" spans="1:47" ht="12.75" hidden="1">
      <c r="A105" s="22"/>
      <c r="B105" s="9"/>
      <c r="C105" s="9"/>
      <c r="D105" s="9"/>
      <c r="E105" s="9"/>
      <c r="F105" s="9"/>
      <c r="G105" s="9"/>
      <c r="H105" s="16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0"/>
      <c r="AB105" s="131"/>
      <c r="AC105" s="49"/>
      <c r="AD105" s="5"/>
      <c r="AE105" s="5"/>
      <c r="AF105" s="5"/>
      <c r="AU105" s="6">
        <f>D92*C92</f>
        <v>0</v>
      </c>
    </row>
    <row r="106" spans="1:47" ht="12.75" hidden="1">
      <c r="A106" s="22"/>
      <c r="B106" s="9"/>
      <c r="C106" s="9"/>
      <c r="D106" s="9"/>
      <c r="E106" s="9"/>
      <c r="F106" s="9"/>
      <c r="G106" s="9"/>
      <c r="H106" s="16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0"/>
      <c r="AB106" s="131"/>
      <c r="AC106" s="49"/>
      <c r="AD106" s="5"/>
      <c r="AE106" s="5"/>
      <c r="AF106" s="5"/>
      <c r="AU106" s="6">
        <f>E92/F74</f>
        <v>0</v>
      </c>
    </row>
    <row r="107" spans="1:47" ht="12.75">
      <c r="A107" s="22"/>
      <c r="B107" s="9"/>
      <c r="C107" s="9"/>
      <c r="D107" s="9"/>
      <c r="E107" s="9"/>
      <c r="F107" s="9"/>
      <c r="G107" s="9"/>
      <c r="H107" s="16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0"/>
      <c r="AB107" s="131"/>
      <c r="AC107" s="49"/>
      <c r="AD107" s="5"/>
      <c r="AE107" s="5"/>
      <c r="AF107" s="5"/>
      <c r="AU107" s="6">
        <f>H92/H6</f>
        <v>0</v>
      </c>
    </row>
    <row r="108" spans="1:47" ht="12.75">
      <c r="A108" s="22"/>
      <c r="B108" s="9"/>
      <c r="C108" s="9"/>
      <c r="D108" s="110" t="s">
        <v>201</v>
      </c>
      <c r="E108" s="9"/>
      <c r="F108" s="9"/>
      <c r="G108" s="9"/>
      <c r="H108" s="16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0"/>
      <c r="AB108" s="131"/>
      <c r="AC108" s="49"/>
      <c r="AD108" s="5"/>
      <c r="AE108" s="5"/>
      <c r="AF108" s="5"/>
      <c r="AU108" s="6">
        <f>F92*C3</f>
        <v>0</v>
      </c>
    </row>
    <row r="109" spans="1:47" ht="12.75">
      <c r="A109" s="22"/>
      <c r="B109" s="9"/>
      <c r="C109" s="9"/>
      <c r="D109" s="43" t="s">
        <v>81</v>
      </c>
      <c r="E109" s="43" t="s">
        <v>57</v>
      </c>
      <c r="F109" s="55"/>
      <c r="G109" s="43"/>
      <c r="H109" s="63" t="s">
        <v>57</v>
      </c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30"/>
      <c r="AB109" s="131"/>
      <c r="AC109" s="49"/>
      <c r="AD109" s="5"/>
      <c r="AE109" s="5"/>
      <c r="AF109" s="5"/>
      <c r="AU109" s="6">
        <f>D93*C93</f>
        <v>6250</v>
      </c>
    </row>
    <row r="110" spans="1:47" ht="12.75">
      <c r="A110" s="22"/>
      <c r="B110" s="9"/>
      <c r="C110" s="9"/>
      <c r="D110" s="43" t="s">
        <v>58</v>
      </c>
      <c r="E110" s="43" t="str">
        <f>AU144</f>
        <v> 78 Cows</v>
      </c>
      <c r="F110" s="43" t="s">
        <v>58</v>
      </c>
      <c r="G110" s="43" t="s">
        <v>9</v>
      </c>
      <c r="H110" s="63" t="str">
        <f>AU145</f>
        <v>  78 Cows</v>
      </c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2"/>
      <c r="AB110" s="143"/>
      <c r="AC110" s="49"/>
      <c r="AD110" s="5"/>
      <c r="AE110" s="5"/>
      <c r="AF110" s="5"/>
      <c r="AU110" s="6">
        <f>E93/F74</f>
        <v>80.12820512820512</v>
      </c>
    </row>
    <row r="111" spans="1:47" ht="12.75">
      <c r="A111" s="13" t="s">
        <v>82</v>
      </c>
      <c r="B111" s="9"/>
      <c r="C111" s="41"/>
      <c r="D111" s="43" t="s">
        <v>51</v>
      </c>
      <c r="E111" s="43" t="s">
        <v>51</v>
      </c>
      <c r="F111" s="43" t="s">
        <v>51</v>
      </c>
      <c r="G111" s="43" t="s">
        <v>83</v>
      </c>
      <c r="H111" s="63" t="s">
        <v>84</v>
      </c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2"/>
      <c r="AB111" s="143"/>
      <c r="AC111" s="49"/>
      <c r="AD111" s="5"/>
      <c r="AE111" s="5"/>
      <c r="AF111" s="5"/>
      <c r="AU111" s="6">
        <f>H93/H6</f>
        <v>1.0066357428166472</v>
      </c>
    </row>
    <row r="112" spans="1:47" ht="12.75">
      <c r="A112" s="13" t="s">
        <v>85</v>
      </c>
      <c r="B112" s="101" t="s">
        <v>76</v>
      </c>
      <c r="C112" s="9"/>
      <c r="D112" s="121">
        <v>75</v>
      </c>
      <c r="E112" s="121">
        <v>0</v>
      </c>
      <c r="F112" s="55">
        <f>AU146</f>
        <v>75</v>
      </c>
      <c r="G112" s="38">
        <f>AU147</f>
        <v>0.9422110552763819</v>
      </c>
      <c r="H112" s="19">
        <f>AU148</f>
        <v>5850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42"/>
      <c r="AB112" s="143"/>
      <c r="AC112" s="49"/>
      <c r="AD112" s="5"/>
      <c r="AE112" s="5"/>
      <c r="AF112" s="5"/>
      <c r="AU112" s="6">
        <f>F93*C3</f>
        <v>6250</v>
      </c>
    </row>
    <row r="113" spans="1:47" ht="12.75">
      <c r="A113" s="13" t="s">
        <v>74</v>
      </c>
      <c r="B113" s="101" t="s">
        <v>76</v>
      </c>
      <c r="C113" s="9"/>
      <c r="D113" s="121">
        <v>0</v>
      </c>
      <c r="E113" s="121">
        <v>0</v>
      </c>
      <c r="F113" s="55">
        <f>AU149</f>
        <v>0</v>
      </c>
      <c r="G113" s="38">
        <f>AU150</f>
        <v>0</v>
      </c>
      <c r="H113" s="19">
        <f>AU151</f>
        <v>0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6"/>
      <c r="AB113" s="137"/>
      <c r="AC113" s="49"/>
      <c r="AD113" s="5"/>
      <c r="AE113" s="5"/>
      <c r="AF113" s="5"/>
      <c r="AU113" s="6">
        <f>D94*C94</f>
        <v>29400</v>
      </c>
    </row>
    <row r="114" spans="1:47" ht="12.75">
      <c r="A114" s="13" t="s">
        <v>75</v>
      </c>
      <c r="B114" s="101" t="s">
        <v>76</v>
      </c>
      <c r="C114" s="41"/>
      <c r="D114" s="121">
        <v>0</v>
      </c>
      <c r="E114" s="121">
        <v>0</v>
      </c>
      <c r="F114" s="55">
        <f>AU152</f>
        <v>0</v>
      </c>
      <c r="G114" s="38">
        <f>AU153</f>
        <v>0</v>
      </c>
      <c r="H114" s="19">
        <f>AU154</f>
        <v>0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6"/>
      <c r="AB114" s="137"/>
      <c r="AC114" s="49"/>
      <c r="AD114" s="5"/>
      <c r="AE114" s="5"/>
      <c r="AF114" s="5"/>
      <c r="AU114" s="6">
        <f>E94/F74</f>
        <v>376.9230769230769</v>
      </c>
    </row>
    <row r="115" spans="1:47" ht="12.75">
      <c r="A115" s="13" t="s">
        <v>86</v>
      </c>
      <c r="B115" s="9"/>
      <c r="C115" s="9"/>
      <c r="D115" s="121">
        <v>0</v>
      </c>
      <c r="E115" s="121">
        <v>38600</v>
      </c>
      <c r="F115" s="55">
        <f>AU155</f>
        <v>494.87179487179486</v>
      </c>
      <c r="G115" s="38">
        <f>AU156</f>
        <v>6.216982347635613</v>
      </c>
      <c r="H115" s="19">
        <f>AU157</f>
        <v>38600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6"/>
      <c r="AB115" s="137"/>
      <c r="AC115" s="49"/>
      <c r="AD115" s="5"/>
      <c r="AE115" s="5"/>
      <c r="AF115" s="5"/>
      <c r="AU115" s="6">
        <f>H94/H6</f>
        <v>4.735214534209509</v>
      </c>
    </row>
    <row r="116" spans="1:47" ht="12.75">
      <c r="A116" s="13" t="s">
        <v>87</v>
      </c>
      <c r="B116" s="9"/>
      <c r="C116" s="9"/>
      <c r="D116" s="121">
        <v>187</v>
      </c>
      <c r="E116" s="121">
        <v>0</v>
      </c>
      <c r="F116" s="55">
        <f>AU158</f>
        <v>187</v>
      </c>
      <c r="G116" s="38">
        <f>AU159</f>
        <v>2.349246231155779</v>
      </c>
      <c r="H116" s="19">
        <f>AU160</f>
        <v>14586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6"/>
      <c r="AB116" s="137"/>
      <c r="AC116" s="49"/>
      <c r="AD116" s="5"/>
      <c r="AE116" s="33" t="s">
        <v>89</v>
      </c>
      <c r="AF116" s="5"/>
      <c r="AU116" s="6">
        <f>F94*C3</f>
        <v>29400</v>
      </c>
    </row>
    <row r="117" spans="1:47" ht="12.75">
      <c r="A117" s="13" t="s">
        <v>88</v>
      </c>
      <c r="B117" s="9"/>
      <c r="C117" s="21"/>
      <c r="D117" s="121">
        <v>76</v>
      </c>
      <c r="E117" s="121">
        <v>0</v>
      </c>
      <c r="F117" s="55">
        <f>AU161</f>
        <v>76</v>
      </c>
      <c r="G117" s="38">
        <f>AU162</f>
        <v>0.9547738693467337</v>
      </c>
      <c r="H117" s="19">
        <f>AU163</f>
        <v>5928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6"/>
      <c r="AB117" s="137"/>
      <c r="AC117" s="5"/>
      <c r="AD117" s="49"/>
      <c r="AE117" s="33" t="s">
        <v>91</v>
      </c>
      <c r="AF117" s="5"/>
      <c r="AU117" s="6">
        <f>D95*C95</f>
        <v>450</v>
      </c>
    </row>
    <row r="118" spans="1:47" ht="12.75">
      <c r="A118" s="13" t="s">
        <v>231</v>
      </c>
      <c r="B118" s="9"/>
      <c r="C118" s="9"/>
      <c r="D118" s="121">
        <v>66</v>
      </c>
      <c r="E118" s="121">
        <v>0</v>
      </c>
      <c r="F118" s="55">
        <f>AU164</f>
        <v>66</v>
      </c>
      <c r="G118" s="38">
        <f>AU165</f>
        <v>0.829145728643216</v>
      </c>
      <c r="H118" s="19">
        <f>AU166</f>
        <v>5148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6"/>
      <c r="AB118" s="137"/>
      <c r="AC118" s="49"/>
      <c r="AD118" s="49"/>
      <c r="AE118" s="33" t="s">
        <v>93</v>
      </c>
      <c r="AF118" s="5"/>
      <c r="AU118" s="6">
        <f>E95/F74</f>
        <v>5.769230769230769</v>
      </c>
    </row>
    <row r="119" spans="1:47" ht="12.75">
      <c r="A119" s="13" t="s">
        <v>90</v>
      </c>
      <c r="B119" s="9"/>
      <c r="C119" s="18"/>
      <c r="D119" s="121">
        <v>0</v>
      </c>
      <c r="E119" s="121">
        <v>1200</v>
      </c>
      <c r="F119" s="55">
        <f>AU167</f>
        <v>15.384615384615385</v>
      </c>
      <c r="G119" s="38">
        <f>AU168</f>
        <v>0.19327406262079627</v>
      </c>
      <c r="H119" s="19">
        <f>AU169</f>
        <v>1200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6"/>
      <c r="AB119" s="137"/>
      <c r="AC119" s="5"/>
      <c r="AD119" s="25"/>
      <c r="AE119" s="33" t="s">
        <v>95</v>
      </c>
      <c r="AF119" s="5"/>
      <c r="AU119" s="6">
        <f>H95/H6</f>
        <v>0.0724777734827986</v>
      </c>
    </row>
    <row r="120" spans="1:47" ht="12.75">
      <c r="A120" s="13" t="s">
        <v>92</v>
      </c>
      <c r="B120" s="9"/>
      <c r="C120" s="21"/>
      <c r="D120" s="122"/>
      <c r="E120" s="124"/>
      <c r="F120" s="55">
        <f>AU170</f>
        <v>377.70207692307685</v>
      </c>
      <c r="G120" s="38">
        <f>AU171</f>
        <v>4.745000966370312</v>
      </c>
      <c r="H120" s="19">
        <f>AU172</f>
        <v>29460.761999999995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6"/>
      <c r="AB120" s="137"/>
      <c r="AC120" s="49"/>
      <c r="AD120" s="5"/>
      <c r="AE120" s="33" t="s">
        <v>97</v>
      </c>
      <c r="AF120" s="5"/>
      <c r="AU120" s="6">
        <f>F95*C3</f>
        <v>450</v>
      </c>
    </row>
    <row r="121" spans="1:47" ht="12.75">
      <c r="A121" s="13" t="s">
        <v>94</v>
      </c>
      <c r="B121" s="9"/>
      <c r="C121" s="21"/>
      <c r="D121" s="123">
        <v>0</v>
      </c>
      <c r="E121" s="121">
        <v>850</v>
      </c>
      <c r="F121" s="55">
        <f>AU173</f>
        <v>10.897435897435898</v>
      </c>
      <c r="G121" s="38">
        <f>AU174</f>
        <v>0.13690246102306403</v>
      </c>
      <c r="H121" s="19">
        <f>AU175</f>
        <v>850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6"/>
      <c r="AB121" s="137"/>
      <c r="AC121" s="49"/>
      <c r="AD121" s="29">
        <f>AU182</f>
        <v>3643</v>
      </c>
      <c r="AE121" s="25"/>
      <c r="AF121" s="5"/>
      <c r="AU121" s="6">
        <f>D96*C96</f>
        <v>31250</v>
      </c>
    </row>
    <row r="122" spans="1:47" ht="12.75">
      <c r="A122" s="13" t="s">
        <v>96</v>
      </c>
      <c r="B122" s="23"/>
      <c r="C122" s="21"/>
      <c r="D122" s="121">
        <v>0</v>
      </c>
      <c r="E122" s="121">
        <v>8500</v>
      </c>
      <c r="F122" s="55">
        <f>AU176</f>
        <v>108.97435897435898</v>
      </c>
      <c r="G122" s="38">
        <f>AU177</f>
        <v>1.3690246102306403</v>
      </c>
      <c r="H122" s="19">
        <f>AU178</f>
        <v>8500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6"/>
      <c r="AB122" s="137"/>
      <c r="AC122" s="49"/>
      <c r="AD122" s="49"/>
      <c r="AE122" s="25"/>
      <c r="AF122" s="5"/>
      <c r="AU122" s="6">
        <f>E96/F74</f>
        <v>400.64102564102564</v>
      </c>
    </row>
    <row r="123" spans="1:47" ht="12.75">
      <c r="A123" s="13" t="s">
        <v>98</v>
      </c>
      <c r="B123" s="9"/>
      <c r="C123" s="21"/>
      <c r="D123" s="121">
        <v>0</v>
      </c>
      <c r="E123" s="121">
        <v>2890</v>
      </c>
      <c r="F123" s="55">
        <f>AU179</f>
        <v>37.05128205128205</v>
      </c>
      <c r="G123" s="38">
        <f>AU180</f>
        <v>0.4654683674784177</v>
      </c>
      <c r="H123" s="19">
        <f>AU181</f>
        <v>2890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6"/>
      <c r="AB123" s="137"/>
      <c r="AC123" s="49"/>
      <c r="AD123" s="49"/>
      <c r="AE123" s="33" t="s">
        <v>101</v>
      </c>
      <c r="AF123" s="5"/>
      <c r="AU123" s="6">
        <f>H96/H6</f>
        <v>5.0331787140832365</v>
      </c>
    </row>
    <row r="124" spans="1:47" ht="12.75">
      <c r="A124" s="13" t="s">
        <v>99</v>
      </c>
      <c r="B124" s="9"/>
      <c r="C124" s="21"/>
      <c r="D124" s="121">
        <v>0</v>
      </c>
      <c r="E124" s="121">
        <v>0</v>
      </c>
      <c r="F124" s="55">
        <f>AU183</f>
        <v>0</v>
      </c>
      <c r="G124" s="38">
        <f>AU184</f>
        <v>0</v>
      </c>
      <c r="H124" s="19">
        <f>AU185</f>
        <v>0</v>
      </c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6"/>
      <c r="AB124" s="137"/>
      <c r="AC124" s="49"/>
      <c r="AD124" s="49"/>
      <c r="AE124" s="5"/>
      <c r="AF124" s="5"/>
      <c r="AU124" s="6">
        <f>F96*C3</f>
        <v>31250</v>
      </c>
    </row>
    <row r="125" spans="1:47" ht="12.75">
      <c r="A125" s="13" t="s">
        <v>100</v>
      </c>
      <c r="B125" s="18"/>
      <c r="C125" s="9"/>
      <c r="D125" s="121">
        <v>0</v>
      </c>
      <c r="E125" s="121">
        <v>11400</v>
      </c>
      <c r="F125" s="55">
        <f>AU186</f>
        <v>146.15384615384616</v>
      </c>
      <c r="G125" s="38">
        <f>AU187</f>
        <v>1.8361035948975646</v>
      </c>
      <c r="H125" s="19">
        <f>AU188</f>
        <v>11400</v>
      </c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6"/>
      <c r="AB125" s="137"/>
      <c r="AC125" s="49"/>
      <c r="AD125" s="49"/>
      <c r="AE125" s="49"/>
      <c r="AF125" s="5"/>
      <c r="AU125" s="6">
        <f>D97*C97</f>
        <v>10560</v>
      </c>
    </row>
    <row r="126" spans="1:47" ht="12.75">
      <c r="A126" s="22"/>
      <c r="B126" s="9"/>
      <c r="C126" s="9"/>
      <c r="D126" s="9"/>
      <c r="E126" s="23"/>
      <c r="F126" s="23"/>
      <c r="G126" s="21"/>
      <c r="H126" s="20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6"/>
      <c r="AB126" s="137"/>
      <c r="AC126" s="49"/>
      <c r="AD126" s="49"/>
      <c r="AE126" s="49"/>
      <c r="AF126" s="5"/>
      <c r="AU126" s="6">
        <f>E97/F74</f>
        <v>135.3846153846154</v>
      </c>
    </row>
    <row r="127" spans="1:47" ht="12.75">
      <c r="A127" s="22"/>
      <c r="B127" s="9"/>
      <c r="C127" s="9"/>
      <c r="D127" s="43" t="s">
        <v>81</v>
      </c>
      <c r="E127" s="106" t="s">
        <v>102</v>
      </c>
      <c r="F127" s="38"/>
      <c r="G127" s="55"/>
      <c r="H127" s="63" t="s">
        <v>57</v>
      </c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38"/>
      <c r="AB127" s="139"/>
      <c r="AC127" s="49"/>
      <c r="AD127" s="49"/>
      <c r="AE127" s="49"/>
      <c r="AF127" s="5"/>
      <c r="AU127" s="6">
        <f>H97/H6</f>
        <v>1.7008117510630072</v>
      </c>
    </row>
    <row r="128" spans="1:47" ht="12.75">
      <c r="A128" s="22"/>
      <c r="B128" s="9"/>
      <c r="C128" s="9"/>
      <c r="D128" s="43" t="s">
        <v>103</v>
      </c>
      <c r="E128" s="106" t="s">
        <v>104</v>
      </c>
      <c r="F128" s="43" t="s">
        <v>58</v>
      </c>
      <c r="G128" s="43" t="s">
        <v>9</v>
      </c>
      <c r="H128" s="63" t="str">
        <f>AU189</f>
        <v>  78 Cows</v>
      </c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2"/>
      <c r="AB128" s="143"/>
      <c r="AC128" s="49"/>
      <c r="AD128" s="5"/>
      <c r="AE128" s="33" t="s">
        <v>107</v>
      </c>
      <c r="AF128" s="5"/>
      <c r="AU128" s="6">
        <f>F97*C3</f>
        <v>10560</v>
      </c>
    </row>
    <row r="129" spans="1:47" ht="12.75">
      <c r="A129" s="13" t="s">
        <v>105</v>
      </c>
      <c r="B129" s="9"/>
      <c r="C129" s="9"/>
      <c r="D129" s="36">
        <v>45</v>
      </c>
      <c r="E129" s="107">
        <f>AU190</f>
        <v>0</v>
      </c>
      <c r="F129" s="55">
        <f>AU191</f>
        <v>45</v>
      </c>
      <c r="G129" s="38">
        <f>AU192</f>
        <v>0.5653266331658291</v>
      </c>
      <c r="H129" s="19">
        <f>AU193</f>
        <v>3510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42"/>
      <c r="AB129" s="143"/>
      <c r="AC129" s="49"/>
      <c r="AD129" s="5"/>
      <c r="AE129" s="33" t="s">
        <v>109</v>
      </c>
      <c r="AF129" s="5"/>
      <c r="AU129" s="6">
        <f>D98*C98</f>
        <v>27960</v>
      </c>
    </row>
    <row r="130" spans="1:47" ht="12.75">
      <c r="A130" s="13" t="s">
        <v>106</v>
      </c>
      <c r="B130" s="9"/>
      <c r="C130" s="21"/>
      <c r="D130" s="36">
        <v>91</v>
      </c>
      <c r="E130" s="107">
        <f>AU194</f>
        <v>0</v>
      </c>
      <c r="F130" s="55">
        <f>AU195</f>
        <v>91</v>
      </c>
      <c r="G130" s="38">
        <f>AU196</f>
        <v>1.14321608040201</v>
      </c>
      <c r="H130" s="19">
        <f>AU197</f>
        <v>7098</v>
      </c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6"/>
      <c r="AB130" s="137"/>
      <c r="AC130" s="49"/>
      <c r="AD130" s="5"/>
      <c r="AE130" s="5"/>
      <c r="AF130" s="5"/>
      <c r="AU130" s="6">
        <f>E98/F74</f>
        <v>358.46153846153845</v>
      </c>
    </row>
    <row r="131" spans="1:47" ht="12.75">
      <c r="A131" s="13" t="s">
        <v>108</v>
      </c>
      <c r="B131" s="9"/>
      <c r="C131" s="21"/>
      <c r="D131" s="36">
        <v>200</v>
      </c>
      <c r="E131" s="107">
        <f>AU198</f>
        <v>0</v>
      </c>
      <c r="F131" s="55">
        <f>AU199</f>
        <v>200</v>
      </c>
      <c r="G131" s="38">
        <f>AU200</f>
        <v>2.5125628140703515</v>
      </c>
      <c r="H131" s="19">
        <f>AU201</f>
        <v>15600</v>
      </c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6"/>
      <c r="AB131" s="137"/>
      <c r="AC131" s="5"/>
      <c r="AD131" s="5"/>
      <c r="AE131" s="33" t="s">
        <v>110</v>
      </c>
      <c r="AF131" s="5"/>
      <c r="AU131" s="6">
        <f>H98/H6</f>
        <v>4.503285659064553</v>
      </c>
    </row>
    <row r="132" spans="1:47" ht="12.75">
      <c r="A132" s="13" t="s">
        <v>191</v>
      </c>
      <c r="B132" s="9"/>
      <c r="C132" s="21"/>
      <c r="D132" s="36">
        <v>0</v>
      </c>
      <c r="E132" s="107">
        <f>AU202</f>
        <v>0</v>
      </c>
      <c r="F132" s="55">
        <f>AU203</f>
        <v>0</v>
      </c>
      <c r="G132" s="38">
        <f>AU204</f>
        <v>0</v>
      </c>
      <c r="H132" s="19">
        <f>AU205</f>
        <v>0</v>
      </c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6"/>
      <c r="AB132" s="137"/>
      <c r="AC132" s="5"/>
      <c r="AD132" s="25"/>
      <c r="AE132" s="33" t="s">
        <v>111</v>
      </c>
      <c r="AF132" s="5"/>
      <c r="AU132" s="6">
        <f>F98*C3</f>
        <v>27960</v>
      </c>
    </row>
    <row r="133" spans="1:47" ht="12.75">
      <c r="A133" s="13" t="s">
        <v>183</v>
      </c>
      <c r="B133" s="9"/>
      <c r="C133" s="18"/>
      <c r="D133" s="36">
        <v>110</v>
      </c>
      <c r="E133" s="107">
        <f>AU206</f>
        <v>0</v>
      </c>
      <c r="F133" s="55">
        <f>AU207</f>
        <v>110</v>
      </c>
      <c r="G133" s="38">
        <f>AU208</f>
        <v>1.3819095477386933</v>
      </c>
      <c r="H133" s="19">
        <f>AU209</f>
        <v>8580</v>
      </c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6"/>
      <c r="AB133" s="137"/>
      <c r="AC133" s="5"/>
      <c r="AD133" s="25"/>
      <c r="AE133" s="5"/>
      <c r="AF133" s="5"/>
      <c r="AU133" s="6">
        <f>D99*C99</f>
        <v>0</v>
      </c>
    </row>
    <row r="134" spans="1:47" ht="12.75">
      <c r="A134" s="109" t="s">
        <v>185</v>
      </c>
      <c r="B134" s="18"/>
      <c r="C134" s="31"/>
      <c r="D134" s="9"/>
      <c r="E134" s="108"/>
      <c r="F134" s="23"/>
      <c r="G134" s="21"/>
      <c r="H134" s="20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6"/>
      <c r="AB134" s="137"/>
      <c r="AC134" s="25"/>
      <c r="AD134" s="25"/>
      <c r="AE134" s="5"/>
      <c r="AF134" s="5"/>
      <c r="AU134" s="6">
        <f>E99/F74</f>
        <v>0</v>
      </c>
    </row>
    <row r="135" spans="1:47" ht="12.75">
      <c r="A135" s="13" t="s">
        <v>112</v>
      </c>
      <c r="B135" s="18"/>
      <c r="C135" s="43" t="s">
        <v>113</v>
      </c>
      <c r="D135" s="10" t="s">
        <v>220</v>
      </c>
      <c r="E135" s="108"/>
      <c r="F135" s="23"/>
      <c r="G135" s="21"/>
      <c r="H135" s="20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8"/>
      <c r="AB135" s="139"/>
      <c r="AC135" s="25"/>
      <c r="AD135" s="25"/>
      <c r="AE135" s="29">
        <f>AU214</f>
        <v>19.891925407735798</v>
      </c>
      <c r="AF135" s="5"/>
      <c r="AU135" s="6">
        <f>H99/H6</f>
        <v>0</v>
      </c>
    </row>
    <row r="136" spans="1:47" ht="12.75">
      <c r="A136" s="13" t="s">
        <v>219</v>
      </c>
      <c r="B136" s="18"/>
      <c r="C136" s="213">
        <v>5</v>
      </c>
      <c r="D136" s="213">
        <v>25</v>
      </c>
      <c r="E136" s="107">
        <f>AU210</f>
        <v>0</v>
      </c>
      <c r="F136" s="55">
        <f>AU211</f>
        <v>46.705128205128204</v>
      </c>
      <c r="G136" s="38">
        <f>AU212</f>
        <v>0.5867478417729673</v>
      </c>
      <c r="H136" s="19">
        <f>AU213</f>
        <v>3643</v>
      </c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8"/>
      <c r="AB136" s="139"/>
      <c r="AC136" s="66"/>
      <c r="AD136" s="25"/>
      <c r="AE136" s="5"/>
      <c r="AF136" s="5"/>
      <c r="AU136" s="6">
        <f>F99*C3</f>
        <v>0</v>
      </c>
    </row>
    <row r="137" spans="1:47" ht="12.75">
      <c r="A137" s="22"/>
      <c r="B137" s="9"/>
      <c r="C137" s="9"/>
      <c r="D137" s="9"/>
      <c r="E137" s="108"/>
      <c r="F137" s="43" t="s">
        <v>114</v>
      </c>
      <c r="G137" s="43" t="s">
        <v>115</v>
      </c>
      <c r="H137" s="63" t="s">
        <v>51</v>
      </c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36"/>
      <c r="AB137" s="137"/>
      <c r="AC137" s="25"/>
      <c r="AD137" s="25"/>
      <c r="AE137" s="5"/>
      <c r="AF137" s="5"/>
      <c r="AU137" s="6">
        <f>D100*C100</f>
        <v>0</v>
      </c>
    </row>
    <row r="138" spans="1:47" ht="12.75">
      <c r="A138" s="13" t="s">
        <v>116</v>
      </c>
      <c r="B138" s="9"/>
      <c r="C138" s="9"/>
      <c r="D138" s="9"/>
      <c r="E138" s="108"/>
      <c r="F138" s="55">
        <f>AU215</f>
        <v>4160.432846153846</v>
      </c>
      <c r="G138" s="38">
        <f>AU216</f>
        <v>52.26674429841515</v>
      </c>
      <c r="H138" s="19">
        <f>AU217</f>
        <v>324513.762</v>
      </c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42"/>
      <c r="AB138" s="143"/>
      <c r="AC138" s="5"/>
      <c r="AD138" s="25"/>
      <c r="AE138" s="5"/>
      <c r="AF138" s="5"/>
      <c r="AU138" s="6">
        <f>E100/F74</f>
        <v>0</v>
      </c>
    </row>
    <row r="139" spans="1:47" ht="12.75">
      <c r="A139" s="22"/>
      <c r="B139" s="9"/>
      <c r="C139" s="9"/>
      <c r="D139" s="9"/>
      <c r="E139" s="108"/>
      <c r="F139" s="23"/>
      <c r="G139" s="21"/>
      <c r="H139" s="20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6"/>
      <c r="AB139" s="137"/>
      <c r="AC139" s="25"/>
      <c r="AD139" s="25"/>
      <c r="AE139" s="5"/>
      <c r="AF139" s="5"/>
      <c r="AU139" s="6">
        <f>H100/H6</f>
        <v>0</v>
      </c>
    </row>
    <row r="140" spans="1:47" ht="12.75">
      <c r="A140" s="22"/>
      <c r="B140" s="9"/>
      <c r="C140" s="18"/>
      <c r="D140" s="43" t="s">
        <v>81</v>
      </c>
      <c r="E140" s="106" t="s">
        <v>117</v>
      </c>
      <c r="F140" s="38"/>
      <c r="G140" s="55"/>
      <c r="H140" s="63" t="s">
        <v>57</v>
      </c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38"/>
      <c r="AB140" s="139"/>
      <c r="AC140" s="25"/>
      <c r="AD140" s="5"/>
      <c r="AE140" s="5"/>
      <c r="AF140" s="5"/>
      <c r="AU140" s="6">
        <f>F100*C3</f>
        <v>0</v>
      </c>
    </row>
    <row r="141" spans="1:47" ht="12.75">
      <c r="A141" s="13" t="s">
        <v>118</v>
      </c>
      <c r="B141" s="9"/>
      <c r="C141" s="9"/>
      <c r="D141" s="43" t="s">
        <v>103</v>
      </c>
      <c r="E141" s="106" t="s">
        <v>104</v>
      </c>
      <c r="F141" s="43" t="s">
        <v>119</v>
      </c>
      <c r="G141" s="43" t="s">
        <v>9</v>
      </c>
      <c r="H141" s="63" t="str">
        <f>AU218</f>
        <v>  78 Cows</v>
      </c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2"/>
      <c r="AB141" s="143"/>
      <c r="AC141" s="25"/>
      <c r="AD141" s="60"/>
      <c r="AE141" s="5"/>
      <c r="AF141" s="5"/>
      <c r="AU141" s="65">
        <f>SUM(F80:F100)</f>
        <v>2072.6923076923076</v>
      </c>
    </row>
    <row r="142" spans="1:47" ht="12.75">
      <c r="A142" s="13" t="s">
        <v>120</v>
      </c>
      <c r="B142" s="9"/>
      <c r="C142" s="9"/>
      <c r="D142" s="36">
        <v>323</v>
      </c>
      <c r="E142" s="107">
        <f>AU219</f>
        <v>0</v>
      </c>
      <c r="F142" s="55">
        <f>AU220</f>
        <v>323</v>
      </c>
      <c r="G142" s="38">
        <f>AU221</f>
        <v>4.057788944723618</v>
      </c>
      <c r="H142" s="19">
        <f>AU222</f>
        <v>25194</v>
      </c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42"/>
      <c r="AB142" s="143"/>
      <c r="AC142" s="25"/>
      <c r="AD142" s="5"/>
      <c r="AE142" s="5"/>
      <c r="AF142" s="5"/>
      <c r="AU142" s="6">
        <f>H102/H6</f>
        <v>26.03884808658678</v>
      </c>
    </row>
    <row r="143" spans="1:47" ht="12.75">
      <c r="A143" s="13" t="s">
        <v>121</v>
      </c>
      <c r="B143" s="9"/>
      <c r="C143" s="9"/>
      <c r="D143" s="36">
        <v>510</v>
      </c>
      <c r="E143" s="107">
        <f>AU223</f>
        <v>0</v>
      </c>
      <c r="F143" s="55">
        <f>AU224</f>
        <v>510</v>
      </c>
      <c r="G143" s="38">
        <f>AU225</f>
        <v>6.407035175879397</v>
      </c>
      <c r="H143" s="19">
        <f>AU226</f>
        <v>39780</v>
      </c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6"/>
      <c r="AB143" s="137"/>
      <c r="AC143" s="5"/>
      <c r="AD143" s="5"/>
      <c r="AE143" s="5"/>
      <c r="AF143" s="5"/>
      <c r="AU143" s="7">
        <f>SUM(H80:H100)</f>
        <v>161670</v>
      </c>
    </row>
    <row r="144" spans="1:47" ht="12.75">
      <c r="A144" s="13" t="s">
        <v>122</v>
      </c>
      <c r="B144" s="9"/>
      <c r="C144" s="21"/>
      <c r="D144" s="36">
        <v>10</v>
      </c>
      <c r="E144" s="107">
        <f>AU227</f>
        <v>0</v>
      </c>
      <c r="F144" s="55">
        <f>AU228</f>
        <v>10</v>
      </c>
      <c r="G144" s="38">
        <f>AU229</f>
        <v>0.12562814070351758</v>
      </c>
      <c r="H144" s="19">
        <f>AU230</f>
        <v>780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6"/>
      <c r="AB144" s="137"/>
      <c r="AC144" s="60"/>
      <c r="AD144" s="5"/>
      <c r="AE144" s="5"/>
      <c r="AF144" s="5"/>
      <c r="AU144" s="6" t="str">
        <f>" "&amp;FIXED(F74,0,TRUE)&amp;" Cows"</f>
        <v> 78 Cows</v>
      </c>
    </row>
    <row r="145" spans="1:47" ht="12.75">
      <c r="A145" s="13" t="s">
        <v>184</v>
      </c>
      <c r="B145" s="9"/>
      <c r="C145" s="21"/>
      <c r="D145" s="36">
        <v>161</v>
      </c>
      <c r="E145" s="107">
        <f>AU231</f>
        <v>0</v>
      </c>
      <c r="F145" s="55">
        <f>AU232</f>
        <v>161</v>
      </c>
      <c r="G145" s="38">
        <f>AU233</f>
        <v>2.022613065326633</v>
      </c>
      <c r="H145" s="19">
        <f>AU234</f>
        <v>12558</v>
      </c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6"/>
      <c r="AB145" s="137"/>
      <c r="AC145" s="5"/>
      <c r="AD145" s="5"/>
      <c r="AE145" s="5"/>
      <c r="AF145" s="5"/>
      <c r="AU145" s="6" t="str">
        <f>"  "&amp;FIXED(C3,0,TRUE)&amp;" Cows"</f>
        <v>  78 Cows</v>
      </c>
    </row>
    <row r="146" spans="1:47" ht="12.75">
      <c r="A146" s="109" t="s">
        <v>205</v>
      </c>
      <c r="B146" s="9"/>
      <c r="C146" s="21"/>
      <c r="D146" s="9"/>
      <c r="E146" s="9"/>
      <c r="F146" s="43" t="s">
        <v>114</v>
      </c>
      <c r="G146" s="43" t="s">
        <v>115</v>
      </c>
      <c r="H146" s="63" t="s">
        <v>51</v>
      </c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36"/>
      <c r="AB146" s="137"/>
      <c r="AC146" s="5"/>
      <c r="AD146" s="5"/>
      <c r="AE146" s="5"/>
      <c r="AF146" s="5"/>
      <c r="AU146" s="6">
        <f>IF(D112=0,E112/F74,D112)</f>
        <v>75</v>
      </c>
    </row>
    <row r="147" spans="1:47" ht="12.75">
      <c r="A147" s="13" t="s">
        <v>123</v>
      </c>
      <c r="B147" s="9"/>
      <c r="C147" s="18"/>
      <c r="D147" s="9"/>
      <c r="E147" s="9"/>
      <c r="F147" s="55">
        <f>AU235</f>
        <v>1004</v>
      </c>
      <c r="G147" s="38">
        <f>AU236</f>
        <v>12.613065326633166</v>
      </c>
      <c r="H147" s="19">
        <f>AU237</f>
        <v>78312</v>
      </c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42"/>
      <c r="AB147" s="143"/>
      <c r="AC147" s="5"/>
      <c r="AD147" s="49"/>
      <c r="AE147" s="5"/>
      <c r="AF147" s="5"/>
      <c r="AU147" s="6">
        <f>H112/H6</f>
        <v>0.9422110552763819</v>
      </c>
    </row>
    <row r="148" spans="1:47" ht="12.75">
      <c r="A148" s="22"/>
      <c r="B148" s="9"/>
      <c r="C148" s="21"/>
      <c r="D148" s="9"/>
      <c r="E148" s="23"/>
      <c r="F148" s="23"/>
      <c r="G148" s="21"/>
      <c r="H148" s="20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6"/>
      <c r="AB148" s="137"/>
      <c r="AC148" s="5"/>
      <c r="AD148" s="49"/>
      <c r="AE148" s="5"/>
      <c r="AF148" s="5"/>
      <c r="AU148" s="6">
        <f>F112*C3</f>
        <v>5850</v>
      </c>
    </row>
    <row r="149" spans="1:47" ht="12.75">
      <c r="A149" s="91"/>
      <c r="B149" s="91"/>
      <c r="C149" s="91"/>
      <c r="D149" s="91"/>
      <c r="E149" s="91"/>
      <c r="F149" s="91"/>
      <c r="G149" s="91"/>
      <c r="H149" s="91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38"/>
      <c r="AB149" s="139"/>
      <c r="AC149" s="5"/>
      <c r="AD149" s="49"/>
      <c r="AE149" s="5"/>
      <c r="AF149" s="5"/>
      <c r="AU149" s="6">
        <f>IF(D113=0,E113/F74,D113)</f>
        <v>0</v>
      </c>
    </row>
    <row r="150" spans="1:47" ht="12.75">
      <c r="A150" s="13" t="s">
        <v>124</v>
      </c>
      <c r="B150" s="9"/>
      <c r="C150" s="9"/>
      <c r="D150" s="9"/>
      <c r="E150" s="43" t="s">
        <v>58</v>
      </c>
      <c r="F150" s="43" t="s">
        <v>9</v>
      </c>
      <c r="G150" s="43" t="s">
        <v>57</v>
      </c>
      <c r="H150" s="67" t="s">
        <v>125</v>
      </c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46"/>
      <c r="AB150" s="147"/>
      <c r="AC150" s="49"/>
      <c r="AD150" s="49"/>
      <c r="AE150" s="5"/>
      <c r="AF150" s="5"/>
      <c r="AU150" s="6">
        <f>H113/H6</f>
        <v>0</v>
      </c>
    </row>
    <row r="151" spans="1:47" ht="12.75">
      <c r="A151" s="13" t="s">
        <v>126</v>
      </c>
      <c r="B151" s="9"/>
      <c r="C151" s="9"/>
      <c r="D151" s="9"/>
      <c r="E151" s="55">
        <f>AU238</f>
        <v>6601.061153846154</v>
      </c>
      <c r="F151" s="38">
        <f>AU239</f>
        <v>82.92790394279088</v>
      </c>
      <c r="G151" s="55">
        <f>AU240</f>
        <v>514882.77</v>
      </c>
      <c r="H151" s="67" t="s">
        <v>127</v>
      </c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2"/>
      <c r="AB151" s="163"/>
      <c r="AC151" s="49"/>
      <c r="AD151" s="49"/>
      <c r="AE151" s="49"/>
      <c r="AF151" s="5"/>
      <c r="AU151" s="6">
        <f>F113*C3</f>
        <v>0</v>
      </c>
    </row>
    <row r="152" spans="1:47" ht="12.75">
      <c r="A152" s="13" t="s">
        <v>128</v>
      </c>
      <c r="B152" s="9"/>
      <c r="C152" s="9"/>
      <c r="D152" s="9"/>
      <c r="E152" s="55">
        <f>AU241</f>
        <v>4160.432846153846</v>
      </c>
      <c r="F152" s="38">
        <f>AU242</f>
        <v>52.26674429841515</v>
      </c>
      <c r="G152" s="55">
        <f>AU243</f>
        <v>324513.762</v>
      </c>
      <c r="H152" s="67" t="s">
        <v>129</v>
      </c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2"/>
      <c r="AB152" s="163"/>
      <c r="AC152" s="49"/>
      <c r="AD152" s="5"/>
      <c r="AE152" s="49"/>
      <c r="AF152" s="5"/>
      <c r="AU152" s="6">
        <f>IF(D114=0,E114/F74,D114)</f>
        <v>0</v>
      </c>
    </row>
    <row r="153" spans="1:47" ht="12.75">
      <c r="A153" s="22"/>
      <c r="B153" s="9"/>
      <c r="C153" s="9"/>
      <c r="D153" s="9"/>
      <c r="E153" s="43" t="s">
        <v>51</v>
      </c>
      <c r="F153" s="43" t="s">
        <v>51</v>
      </c>
      <c r="G153" s="43" t="s">
        <v>51</v>
      </c>
      <c r="H153" s="20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62"/>
      <c r="AB153" s="163"/>
      <c r="AC153" s="49"/>
      <c r="AD153" s="5"/>
      <c r="AE153" s="49"/>
      <c r="AF153" s="5"/>
      <c r="AU153" s="6">
        <f>H114/H6</f>
        <v>0</v>
      </c>
    </row>
    <row r="154" spans="1:47" ht="12.75">
      <c r="A154" s="13" t="s">
        <v>130</v>
      </c>
      <c r="B154" s="9"/>
      <c r="C154" s="9"/>
      <c r="D154" s="9"/>
      <c r="E154" s="55">
        <f>AU244</f>
        <v>2440.628307692308</v>
      </c>
      <c r="F154" s="38">
        <f>AU245</f>
        <v>30.66115964437573</v>
      </c>
      <c r="G154" s="55">
        <f>AU246</f>
        <v>190369.00800000003</v>
      </c>
      <c r="H154" s="67" t="s">
        <v>131</v>
      </c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38"/>
      <c r="AB154" s="139"/>
      <c r="AC154" s="49"/>
      <c r="AD154" s="5"/>
      <c r="AE154" s="49"/>
      <c r="AF154" s="5"/>
      <c r="AU154" s="6">
        <f>F114*C3</f>
        <v>0</v>
      </c>
    </row>
    <row r="155" spans="1:47" ht="12.75">
      <c r="A155" s="13" t="s">
        <v>132</v>
      </c>
      <c r="B155" s="23"/>
      <c r="C155" s="9"/>
      <c r="D155" s="9"/>
      <c r="E155" s="55">
        <f>AU247</f>
        <v>1004</v>
      </c>
      <c r="F155" s="38">
        <f>AU248</f>
        <v>12.613065326633166</v>
      </c>
      <c r="G155" s="55">
        <f>AU249</f>
        <v>78312</v>
      </c>
      <c r="H155" s="67" t="s">
        <v>133</v>
      </c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2"/>
      <c r="AB155" s="163"/>
      <c r="AC155" s="5"/>
      <c r="AD155" s="49"/>
      <c r="AE155" s="49"/>
      <c r="AF155" s="5"/>
      <c r="AU155" s="6">
        <f>IF(D115=0,E115/F74,D115)</f>
        <v>494.87179487179486</v>
      </c>
    </row>
    <row r="156" spans="1:47" ht="12.75">
      <c r="A156" s="22"/>
      <c r="B156" s="9"/>
      <c r="C156" s="9"/>
      <c r="D156" s="9"/>
      <c r="E156" s="43" t="s">
        <v>51</v>
      </c>
      <c r="F156" s="43" t="s">
        <v>51</v>
      </c>
      <c r="G156" s="43" t="s">
        <v>51</v>
      </c>
      <c r="H156" s="20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62"/>
      <c r="AB156" s="163"/>
      <c r="AC156" s="5"/>
      <c r="AD156" s="49"/>
      <c r="AE156" s="5"/>
      <c r="AF156" s="5"/>
      <c r="AU156" s="6">
        <f>H115/H6</f>
        <v>6.216982347635613</v>
      </c>
    </row>
    <row r="157" spans="1:47" ht="12.75">
      <c r="A157" s="13" t="s">
        <v>134</v>
      </c>
      <c r="B157" s="9"/>
      <c r="C157" s="9"/>
      <c r="D157" s="9"/>
      <c r="E157" s="55">
        <f>AU250</f>
        <v>1436.628307692308</v>
      </c>
      <c r="F157" s="38">
        <f>AU251</f>
        <v>18.048094317742564</v>
      </c>
      <c r="G157" s="55">
        <f>AU252</f>
        <v>112057.00800000003</v>
      </c>
      <c r="H157" s="67" t="s">
        <v>135</v>
      </c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38"/>
      <c r="AB157" s="139"/>
      <c r="AC157" s="5"/>
      <c r="AD157" s="49"/>
      <c r="AE157" s="5"/>
      <c r="AF157" s="5"/>
      <c r="AU157" s="6">
        <f>F115*C3</f>
        <v>38600</v>
      </c>
    </row>
    <row r="158" spans="1:47" ht="12.75">
      <c r="A158" s="13" t="s">
        <v>62</v>
      </c>
      <c r="B158" s="18"/>
      <c r="C158" s="9"/>
      <c r="D158" s="9"/>
      <c r="E158" s="18"/>
      <c r="F158" s="9"/>
      <c r="G158" s="11"/>
      <c r="H158" s="67" t="s">
        <v>136</v>
      </c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2"/>
      <c r="AB158" s="163"/>
      <c r="AC158" s="49"/>
      <c r="AD158" s="49"/>
      <c r="AE158" s="5"/>
      <c r="AF158" s="5"/>
      <c r="AU158" s="6">
        <f>IF(D116=0,E116/F74,D116)</f>
        <v>187</v>
      </c>
    </row>
    <row r="159" spans="1:47" ht="12.75">
      <c r="A159" s="13" t="s">
        <v>137</v>
      </c>
      <c r="B159" s="9"/>
      <c r="C159" s="9"/>
      <c r="D159" s="9"/>
      <c r="E159" s="23"/>
      <c r="F159" s="23"/>
      <c r="G159" s="43" t="s">
        <v>138</v>
      </c>
      <c r="H159" s="63" t="s">
        <v>3</v>
      </c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62"/>
      <c r="AB159" s="163"/>
      <c r="AC159" s="49"/>
      <c r="AD159" s="49"/>
      <c r="AE159" s="49"/>
      <c r="AF159" s="5"/>
      <c r="AU159" s="6">
        <f>H116/H6</f>
        <v>2.349246231155779</v>
      </c>
    </row>
    <row r="160" spans="1:47" ht="12.75">
      <c r="A160" s="22"/>
      <c r="B160" s="10" t="s">
        <v>139</v>
      </c>
      <c r="C160" s="9"/>
      <c r="D160" s="9"/>
      <c r="E160" s="10" t="s">
        <v>140</v>
      </c>
      <c r="F160" s="23"/>
      <c r="G160" s="52">
        <f>AU253</f>
        <v>48.45962989918554</v>
      </c>
      <c r="H160" s="68">
        <f>AU254</f>
        <v>12.35325387914456</v>
      </c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42"/>
      <c r="AB160" s="143"/>
      <c r="AC160" s="69">
        <f>AU257</f>
        <v>0.01256281407035176</v>
      </c>
      <c r="AD160" s="49"/>
      <c r="AE160" s="49"/>
      <c r="AF160" s="5"/>
      <c r="AU160" s="6">
        <f>F116*C3</f>
        <v>14586</v>
      </c>
    </row>
    <row r="161" spans="1:47" ht="12.75">
      <c r="A161" s="22"/>
      <c r="B161" s="21"/>
      <c r="C161" s="9"/>
      <c r="D161" s="9"/>
      <c r="E161" s="10" t="s">
        <v>141</v>
      </c>
      <c r="F161" s="23"/>
      <c r="G161" s="52">
        <f>AU255</f>
        <v>11.694328503285535</v>
      </c>
      <c r="H161" s="68">
        <f>AU256</f>
        <v>2.9811001290711636</v>
      </c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4"/>
      <c r="AB161" s="165"/>
      <c r="AC161" s="69">
        <f>AU260</f>
        <v>1436.628307692308</v>
      </c>
      <c r="AD161" s="49"/>
      <c r="AE161" s="49"/>
      <c r="AF161" s="5"/>
      <c r="AU161" s="6">
        <f>IF(D117=0,E117/F74,D117)</f>
        <v>76</v>
      </c>
    </row>
    <row r="162" spans="1:47" ht="12.75">
      <c r="A162" s="22"/>
      <c r="B162" s="21"/>
      <c r="C162" s="9"/>
      <c r="D162" s="9"/>
      <c r="E162" s="9"/>
      <c r="F162" s="18"/>
      <c r="G162" s="43" t="s">
        <v>51</v>
      </c>
      <c r="H162" s="68" t="s">
        <v>51</v>
      </c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4"/>
      <c r="AB162" s="165"/>
      <c r="AC162" s="49"/>
      <c r="AD162" s="49"/>
      <c r="AE162" s="49"/>
      <c r="AF162" s="5"/>
      <c r="AU162" s="6">
        <f>H117/H6</f>
        <v>0.9547738693467337</v>
      </c>
    </row>
    <row r="163" spans="1:47" ht="12.75">
      <c r="A163" s="22"/>
      <c r="B163" s="18"/>
      <c r="C163" s="18"/>
      <c r="D163" s="21"/>
      <c r="E163" s="10" t="s">
        <v>142</v>
      </c>
      <c r="F163" s="18"/>
      <c r="G163" s="52">
        <f>AU258</f>
        <v>60.153958402471076</v>
      </c>
      <c r="H163" s="68">
        <f>AU259</f>
        <v>15.334354008215724</v>
      </c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4"/>
      <c r="AB163" s="165"/>
      <c r="AC163" s="69">
        <f>AU262</f>
        <v>247608563.53796262</v>
      </c>
      <c r="AD163" s="49"/>
      <c r="AE163" s="49"/>
      <c r="AF163" s="5"/>
      <c r="AU163" s="6">
        <f>F117*C3</f>
        <v>5928</v>
      </c>
    </row>
    <row r="164" spans="1:47" ht="12.75">
      <c r="A164" s="22"/>
      <c r="B164" s="18"/>
      <c r="C164" s="9"/>
      <c r="D164" s="23"/>
      <c r="E164" s="9"/>
      <c r="F164" s="9"/>
      <c r="G164" s="70" t="s">
        <v>143</v>
      </c>
      <c r="H164" s="71">
        <f>AU261</f>
        <v>0</v>
      </c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4"/>
      <c r="AB164" s="165"/>
      <c r="AC164" s="69">
        <f>AU264</f>
        <v>123791649.96796392</v>
      </c>
      <c r="AD164" s="49"/>
      <c r="AE164" s="49"/>
      <c r="AF164" s="5"/>
      <c r="AU164" s="6">
        <f>IF(D118=0,E118/F74,D118)</f>
        <v>66</v>
      </c>
    </row>
    <row r="165" spans="1:47" ht="12.75">
      <c r="A165" s="91"/>
      <c r="B165" s="91"/>
      <c r="C165" s="91"/>
      <c r="D165" s="91"/>
      <c r="E165" s="91"/>
      <c r="F165" s="91"/>
      <c r="G165" s="91"/>
      <c r="H165" s="91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66"/>
      <c r="AB165" s="167"/>
      <c r="AC165" s="69">
        <f>AU266</f>
        <v>25610582.46638965</v>
      </c>
      <c r="AD165" s="49"/>
      <c r="AE165" s="49"/>
      <c r="AF165" s="5"/>
      <c r="AU165" s="6">
        <f>H118/H6</f>
        <v>0.829145728643216</v>
      </c>
    </row>
    <row r="166" spans="1:47" ht="12.75">
      <c r="A166" s="22"/>
      <c r="B166" s="10" t="s">
        <v>144</v>
      </c>
      <c r="C166" s="18"/>
      <c r="D166" s="23"/>
      <c r="E166" s="18"/>
      <c r="F166" s="9"/>
      <c r="G166" s="72">
        <f>AU263</f>
        <v>0.9999999906401024</v>
      </c>
      <c r="H166" s="67" t="s">
        <v>145</v>
      </c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46"/>
      <c r="AB166" s="147"/>
      <c r="AC166" s="69">
        <f>AU268</f>
        <v>19925.12976048879</v>
      </c>
      <c r="AD166" s="69">
        <f>AU269</f>
        <v>0.730585355025709</v>
      </c>
      <c r="AE166" s="49"/>
      <c r="AF166" s="5"/>
      <c r="AU166" s="6">
        <f>F118*C3</f>
        <v>5148</v>
      </c>
    </row>
    <row r="167" spans="1:47" ht="12.75">
      <c r="A167" s="17"/>
      <c r="B167" s="10" t="s">
        <v>146</v>
      </c>
      <c r="C167" s="9"/>
      <c r="D167" s="14">
        <v>1250</v>
      </c>
      <c r="E167" s="10" t="s">
        <v>147</v>
      </c>
      <c r="F167" s="9"/>
      <c r="G167" s="72">
        <f>AU265</f>
        <v>0.7674838439170919</v>
      </c>
      <c r="H167" s="67" t="s">
        <v>148</v>
      </c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2"/>
      <c r="AB167" s="163"/>
      <c r="AC167" s="69">
        <f>AU271</f>
        <v>255.4503815447281</v>
      </c>
      <c r="AD167" s="69">
        <f>AU272</f>
        <v>0.8552606631919818</v>
      </c>
      <c r="AE167" s="49"/>
      <c r="AF167" s="5"/>
      <c r="AU167" s="6">
        <f>IF(D119=0,E119/F74,D119)</f>
        <v>15.384615384615385</v>
      </c>
    </row>
    <row r="168" spans="1:47" ht="12.75">
      <c r="A168" s="22"/>
      <c r="B168" s="9"/>
      <c r="C168" s="10" t="s">
        <v>149</v>
      </c>
      <c r="D168" s="38">
        <f>AU267</f>
        <v>15.703517587939698</v>
      </c>
      <c r="E168" s="10" t="s">
        <v>150</v>
      </c>
      <c r="F168" s="18"/>
      <c r="G168" s="9"/>
      <c r="H168" s="73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2"/>
      <c r="AB168" s="163"/>
      <c r="AC168" s="49"/>
      <c r="AD168" s="69">
        <f>AU273</f>
        <v>0.3054967886550069</v>
      </c>
      <c r="AE168" s="49"/>
      <c r="AF168" s="5"/>
      <c r="AU168" s="6">
        <f>H119/H6</f>
        <v>0.19327406262079627</v>
      </c>
    </row>
    <row r="169" spans="1:47" ht="12.75">
      <c r="A169" s="22"/>
      <c r="B169" s="10" t="s">
        <v>151</v>
      </c>
      <c r="C169" s="9"/>
      <c r="D169" s="21"/>
      <c r="E169" s="9"/>
      <c r="F169" s="23"/>
      <c r="G169" s="45">
        <f>AU270</f>
        <v>0.038698381304328344</v>
      </c>
      <c r="H169" s="67" t="s">
        <v>152</v>
      </c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8"/>
      <c r="AB169" s="169"/>
      <c r="AC169" s="69">
        <f>AU274</f>
        <v>5.623903550289908</v>
      </c>
      <c r="AD169" s="69">
        <f>AU275</f>
        <v>0.23251615608290804</v>
      </c>
      <c r="AE169" s="49"/>
      <c r="AF169" s="5"/>
      <c r="AU169" s="6">
        <f>F119*C3</f>
        <v>1200</v>
      </c>
    </row>
    <row r="170" spans="1:47" ht="12.75">
      <c r="A170" s="22"/>
      <c r="B170" s="9"/>
      <c r="C170" s="18"/>
      <c r="D170" s="23"/>
      <c r="E170" s="9"/>
      <c r="F170" s="23"/>
      <c r="G170" s="21"/>
      <c r="H170" s="67" t="s">
        <v>153</v>
      </c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2"/>
      <c r="AB170" s="163"/>
      <c r="AC170" s="69">
        <f>AU276</f>
        <v>0.4342668311498139</v>
      </c>
      <c r="AD170" s="5"/>
      <c r="AE170" s="49"/>
      <c r="AF170" s="5"/>
      <c r="AU170" s="6">
        <f>H120/C3</f>
        <v>377.70207692307685</v>
      </c>
    </row>
    <row r="171" spans="1:47" ht="12.75">
      <c r="A171" s="22"/>
      <c r="B171" s="43" t="s">
        <v>154</v>
      </c>
      <c r="C171" s="99"/>
      <c r="D171" s="99"/>
      <c r="E171" s="43" t="s">
        <v>155</v>
      </c>
      <c r="F171" s="23"/>
      <c r="G171" s="21"/>
      <c r="H171" s="67" t="s">
        <v>156</v>
      </c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2"/>
      <c r="AB171" s="163"/>
      <c r="AC171" s="69">
        <f>AU277</f>
        <v>5.406471385433279E-08</v>
      </c>
      <c r="AD171" s="5"/>
      <c r="AE171" s="49"/>
      <c r="AF171" s="5"/>
      <c r="AU171" s="6">
        <f>H120/H6</f>
        <v>4.745000966370312</v>
      </c>
    </row>
    <row r="172" spans="1:47" ht="12.75">
      <c r="A172" s="22"/>
      <c r="B172" s="43" t="s">
        <v>9</v>
      </c>
      <c r="C172" s="43" t="s">
        <v>157</v>
      </c>
      <c r="D172" s="99"/>
      <c r="E172" s="43" t="s">
        <v>158</v>
      </c>
      <c r="F172" s="9"/>
      <c r="G172" s="9"/>
      <c r="H172" s="67" t="s">
        <v>159</v>
      </c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2"/>
      <c r="AB172" s="163"/>
      <c r="AC172" s="69">
        <f>AU280</f>
        <v>9.359897620596097E-09</v>
      </c>
      <c r="AD172" s="5"/>
      <c r="AE172" s="49"/>
      <c r="AF172" s="5"/>
      <c r="AU172" s="53">
        <f>H61</f>
        <v>29460.761999999995</v>
      </c>
    </row>
    <row r="173" spans="1:47" ht="12.75">
      <c r="A173" s="22"/>
      <c r="B173" s="38"/>
      <c r="C173" s="55"/>
      <c r="D173" s="99"/>
      <c r="E173" s="99"/>
      <c r="F173" s="9"/>
      <c r="G173" s="9"/>
      <c r="H173" s="67" t="s">
        <v>160</v>
      </c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2"/>
      <c r="AB173" s="163"/>
      <c r="AC173" s="5"/>
      <c r="AD173" s="5"/>
      <c r="AE173" s="49"/>
      <c r="AF173" s="5"/>
      <c r="AU173" s="6">
        <f>IF(D121=0,E121/F74,D121)</f>
        <v>10.897435897435898</v>
      </c>
    </row>
    <row r="174" spans="1:47" ht="12.75">
      <c r="A174" s="22"/>
      <c r="B174" s="38">
        <f>AU278</f>
        <v>21.160994695862996</v>
      </c>
      <c r="C174" s="55">
        <f>AU279</f>
        <v>1684.4151777906943</v>
      </c>
      <c r="D174" s="99"/>
      <c r="E174" s="43" t="s">
        <v>161</v>
      </c>
      <c r="F174" s="9"/>
      <c r="G174" s="9"/>
      <c r="H174" s="73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2"/>
      <c r="AB174" s="163"/>
      <c r="AC174" s="5"/>
      <c r="AD174" s="5"/>
      <c r="AE174" s="5"/>
      <c r="AF174" s="5"/>
      <c r="AU174" s="6">
        <f>H121/H6</f>
        <v>0.13690246102306403</v>
      </c>
    </row>
    <row r="175" spans="1:47" ht="12.75">
      <c r="A175" s="22"/>
      <c r="B175" s="38">
        <f>AU281</f>
        <v>19.4280398461877</v>
      </c>
      <c r="C175" s="55">
        <f>AU282</f>
        <v>1546.471971756541</v>
      </c>
      <c r="D175" s="99"/>
      <c r="E175" s="43" t="s">
        <v>162</v>
      </c>
      <c r="F175" s="23"/>
      <c r="G175" s="21"/>
      <c r="H175" s="67" t="s">
        <v>163</v>
      </c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8"/>
      <c r="AB175" s="169"/>
      <c r="AC175" s="5"/>
      <c r="AD175" s="5"/>
      <c r="AE175" s="5"/>
      <c r="AF175" s="5"/>
      <c r="AU175" s="6">
        <f>F121*C3</f>
        <v>850</v>
      </c>
    </row>
    <row r="176" spans="1:47" ht="12.75">
      <c r="A176" s="22"/>
      <c r="B176" s="38">
        <f>AU283</f>
        <v>18.048094317742564</v>
      </c>
      <c r="C176" s="55">
        <f>AU284</f>
        <v>1436.628307692308</v>
      </c>
      <c r="D176" s="99"/>
      <c r="E176" s="43" t="s">
        <v>164</v>
      </c>
      <c r="F176" s="23"/>
      <c r="G176" s="21"/>
      <c r="H176" s="67" t="s">
        <v>165</v>
      </c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2"/>
      <c r="AB176" s="163"/>
      <c r="AC176" s="5"/>
      <c r="AD176" s="5"/>
      <c r="AE176" s="5"/>
      <c r="AF176" s="5"/>
      <c r="AU176" s="6">
        <f>IF(D122=0,E122/F74,D122)</f>
        <v>108.97435897435898</v>
      </c>
    </row>
    <row r="177" spans="1:47" ht="12.75">
      <c r="A177" s="22"/>
      <c r="B177" s="38">
        <f>AU285</f>
        <v>16.668148789297426</v>
      </c>
      <c r="C177" s="55">
        <f>AU286</f>
        <v>1326.784643628075</v>
      </c>
      <c r="D177" s="99"/>
      <c r="E177" s="43" t="s">
        <v>166</v>
      </c>
      <c r="F177" s="23"/>
      <c r="G177" s="21"/>
      <c r="H177" s="67" t="s">
        <v>167</v>
      </c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2"/>
      <c r="AB177" s="163"/>
      <c r="AC177" s="5"/>
      <c r="AD177" s="5"/>
      <c r="AE177" s="5"/>
      <c r="AF177" s="5"/>
      <c r="AU177" s="6">
        <f>H122/H6</f>
        <v>1.3690246102306403</v>
      </c>
    </row>
    <row r="178" spans="1:47" ht="12.75">
      <c r="A178" s="22"/>
      <c r="B178" s="38">
        <f>AU287</f>
        <v>14.935193939622133</v>
      </c>
      <c r="C178" s="55">
        <f>AU288</f>
        <v>1188.8414375939217</v>
      </c>
      <c r="D178" s="99"/>
      <c r="E178" s="43" t="s">
        <v>168</v>
      </c>
      <c r="F178" s="23"/>
      <c r="G178" s="21"/>
      <c r="H178" s="67" t="s">
        <v>169</v>
      </c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2"/>
      <c r="AB178" s="163"/>
      <c r="AC178" s="5"/>
      <c r="AD178" s="5"/>
      <c r="AE178" s="5"/>
      <c r="AF178" s="5"/>
      <c r="AU178" s="6">
        <f>F122*C3</f>
        <v>8500</v>
      </c>
    </row>
    <row r="179" spans="1:47" ht="12.75">
      <c r="A179" s="22"/>
      <c r="B179" s="99"/>
      <c r="C179" s="99"/>
      <c r="D179" s="99"/>
      <c r="E179" s="99"/>
      <c r="F179" s="23"/>
      <c r="G179" s="21"/>
      <c r="H179" s="20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62"/>
      <c r="AB179" s="163"/>
      <c r="AC179" s="5"/>
      <c r="AD179" s="5"/>
      <c r="AE179" s="5"/>
      <c r="AF179" s="5"/>
      <c r="AU179" s="6">
        <f>IF(D123=0,E123/F74,D123)</f>
        <v>37.05128205128205</v>
      </c>
    </row>
    <row r="180" spans="1:47" ht="12.75">
      <c r="A180" s="22"/>
      <c r="B180" s="9"/>
      <c r="C180" s="10" t="s">
        <v>170</v>
      </c>
      <c r="D180" s="9"/>
      <c r="E180" s="21"/>
      <c r="F180" s="23"/>
      <c r="G180" s="21"/>
      <c r="H180" s="20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8"/>
      <c r="AB180" s="139"/>
      <c r="AC180" s="5"/>
      <c r="AD180" s="5"/>
      <c r="AE180" s="5"/>
      <c r="AF180" s="5"/>
      <c r="AU180" s="6">
        <f>H123/H6</f>
        <v>0.4654683674784177</v>
      </c>
    </row>
    <row r="181" spans="1:47" ht="12.75">
      <c r="A181" s="13" t="s">
        <v>171</v>
      </c>
      <c r="B181" s="9"/>
      <c r="C181" s="9"/>
      <c r="D181" s="74">
        <v>0.06</v>
      </c>
      <c r="E181" s="21"/>
      <c r="F181" s="10" t="s">
        <v>172</v>
      </c>
      <c r="G181" s="21"/>
      <c r="H181" s="14">
        <v>2000</v>
      </c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38"/>
      <c r="AB181" s="139"/>
      <c r="AC181" s="5"/>
      <c r="AD181" s="5"/>
      <c r="AE181" s="5"/>
      <c r="AF181" s="5"/>
      <c r="AU181" s="6">
        <f>F123*C3</f>
        <v>2890</v>
      </c>
    </row>
    <row r="182" spans="1:47" ht="12.75">
      <c r="A182" s="13" t="s">
        <v>173</v>
      </c>
      <c r="B182" s="9"/>
      <c r="C182" s="9"/>
      <c r="D182" s="14">
        <v>10</v>
      </c>
      <c r="E182" s="21"/>
      <c r="F182" s="10" t="s">
        <v>174</v>
      </c>
      <c r="G182" s="21"/>
      <c r="H182" s="12">
        <f>AU289</f>
        <v>28967.07871335346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50"/>
      <c r="AB182" s="151"/>
      <c r="AC182" s="5"/>
      <c r="AD182" s="5"/>
      <c r="AE182" s="5"/>
      <c r="AF182" s="5"/>
      <c r="AU182" s="6">
        <f>ROUND(+C136*D136*0.0001*(SUM(H102:H133)-H120),0)</f>
        <v>3643</v>
      </c>
    </row>
    <row r="183" spans="1:47" ht="12.75">
      <c r="A183" s="13" t="s">
        <v>214</v>
      </c>
      <c r="B183" s="9"/>
      <c r="C183" s="9"/>
      <c r="D183" s="14">
        <v>4</v>
      </c>
      <c r="E183" s="21"/>
      <c r="F183" s="10" t="s">
        <v>175</v>
      </c>
      <c r="G183" s="21"/>
      <c r="H183" s="20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2"/>
      <c r="AB183" s="133"/>
      <c r="AC183" s="5"/>
      <c r="AD183" s="5"/>
      <c r="AE183" s="5"/>
      <c r="AF183" s="5"/>
      <c r="AU183" s="6">
        <f>IF(D124=0,E124/F74,D124)</f>
        <v>0</v>
      </c>
    </row>
    <row r="184" spans="1:47" ht="12.75">
      <c r="A184" s="13" t="s">
        <v>176</v>
      </c>
      <c r="B184" s="9"/>
      <c r="C184" s="9"/>
      <c r="D184" s="75">
        <v>25000</v>
      </c>
      <c r="E184" s="21"/>
      <c r="F184" s="43" t="str">
        <f>AU290</f>
        <v>  at 25000/kg</v>
      </c>
      <c r="G184" s="21"/>
      <c r="H184" s="12">
        <f>AU291</f>
        <v>472.2548329483461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8"/>
      <c r="AB184" s="139"/>
      <c r="AC184" s="5"/>
      <c r="AD184" s="5"/>
      <c r="AE184" s="5"/>
      <c r="AF184" s="5"/>
      <c r="AU184" s="6">
        <f>H124/H6</f>
        <v>0</v>
      </c>
    </row>
    <row r="185" spans="1:47" ht="12.75">
      <c r="A185" s="22"/>
      <c r="B185" s="9"/>
      <c r="C185" s="9"/>
      <c r="D185" s="9"/>
      <c r="E185" s="21"/>
      <c r="F185" s="10" t="s">
        <v>177</v>
      </c>
      <c r="G185" s="21"/>
      <c r="H185" s="76">
        <f>AU292</f>
        <v>8.246877711572111</v>
      </c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32"/>
      <c r="AB185" s="133"/>
      <c r="AC185" s="5"/>
      <c r="AD185" s="5"/>
      <c r="AE185" s="5"/>
      <c r="AF185" s="5"/>
      <c r="AU185" s="6">
        <f>F124*C3</f>
        <v>0</v>
      </c>
    </row>
    <row r="186" spans="1:47" ht="12.75">
      <c r="A186" s="13" t="s">
        <v>178</v>
      </c>
      <c r="B186" s="9"/>
      <c r="C186" s="9"/>
      <c r="D186" s="9"/>
      <c r="E186" s="21"/>
      <c r="F186" s="23"/>
      <c r="G186" s="21"/>
      <c r="H186" s="20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70"/>
      <c r="AB186" s="171"/>
      <c r="AC186" s="5"/>
      <c r="AD186" s="5"/>
      <c r="AE186" s="5"/>
      <c r="AF186" s="5"/>
      <c r="AU186" s="6">
        <f>IF(D125=0,E125/F74,D125)</f>
        <v>146.15384615384616</v>
      </c>
    </row>
    <row r="187" spans="1:47" ht="12.75" customHeight="1">
      <c r="A187" s="13" t="s">
        <v>210</v>
      </c>
      <c r="B187" s="9"/>
      <c r="C187" s="9"/>
      <c r="D187" s="9"/>
      <c r="E187" s="9"/>
      <c r="F187" s="9"/>
      <c r="G187" s="9"/>
      <c r="H187" s="16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8"/>
      <c r="AB187" s="139"/>
      <c r="AC187" s="5"/>
      <c r="AD187" s="5"/>
      <c r="AE187" s="5"/>
      <c r="AF187" s="5"/>
      <c r="AU187" s="6">
        <f>H125/H6</f>
        <v>1.8361035948975646</v>
      </c>
    </row>
    <row r="188" spans="1:47" ht="12.75">
      <c r="A188" s="22"/>
      <c r="B188" s="18"/>
      <c r="C188" s="18"/>
      <c r="D188" s="18"/>
      <c r="E188" s="18"/>
      <c r="F188" s="18"/>
      <c r="G188" s="21"/>
      <c r="H188" s="64" t="s">
        <v>62</v>
      </c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30"/>
      <c r="AB188" s="131"/>
      <c r="AC188" s="5"/>
      <c r="AD188" s="5"/>
      <c r="AE188" s="5"/>
      <c r="AF188" s="5"/>
      <c r="AU188" s="6">
        <f>F125*C3</f>
        <v>11400</v>
      </c>
    </row>
    <row r="189" spans="1:47" ht="12.75">
      <c r="A189" s="195"/>
      <c r="B189" s="9"/>
      <c r="C189" s="9"/>
      <c r="D189" s="92"/>
      <c r="E189" s="9"/>
      <c r="F189" s="23"/>
      <c r="G189" s="9"/>
      <c r="H189" s="67" t="s">
        <v>62</v>
      </c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72"/>
      <c r="AB189" s="173"/>
      <c r="AC189" s="5"/>
      <c r="AD189" s="5"/>
      <c r="AE189" s="5"/>
      <c r="AF189" s="5"/>
      <c r="AU189" s="6" t="str">
        <f>"  "&amp;FIXED(C3,0,TRUE)&amp;" Cows"</f>
        <v>  78 Cows</v>
      </c>
    </row>
    <row r="190" spans="1:47" ht="12.75">
      <c r="A190" s="197"/>
      <c r="B190" s="93"/>
      <c r="C190" s="93"/>
      <c r="D190" s="93"/>
      <c r="E190" s="93"/>
      <c r="F190" s="93"/>
      <c r="G190" s="93"/>
      <c r="H190" s="199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62"/>
      <c r="AB190" s="163"/>
      <c r="AC190" s="5"/>
      <c r="AD190" s="5"/>
      <c r="AE190" s="5"/>
      <c r="AF190" s="5"/>
      <c r="AU190" s="6">
        <f ca="1">IF(AE116=0,0,HLOOKUP(A1,INDIRECT(AE21),2,FALSE)*INDIRECT(AE116)*0.01)</f>
        <v>0</v>
      </c>
    </row>
    <row r="191" spans="1:47" ht="12.75">
      <c r="A191" s="198"/>
      <c r="B191" s="94"/>
      <c r="C191" s="94"/>
      <c r="D191" s="204" t="s">
        <v>233</v>
      </c>
      <c r="E191" s="94"/>
      <c r="F191" s="94"/>
      <c r="G191" s="94"/>
      <c r="H191" s="200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46"/>
      <c r="AB191" s="147"/>
      <c r="AC191" s="5"/>
      <c r="AD191" s="5"/>
      <c r="AE191" s="5"/>
      <c r="AF191" s="5"/>
      <c r="AU191" s="6">
        <f>H129/C3</f>
        <v>45</v>
      </c>
    </row>
    <row r="192" spans="1:47" ht="12.75">
      <c r="A192" s="196"/>
      <c r="B192" s="94"/>
      <c r="C192" s="94"/>
      <c r="D192" s="94"/>
      <c r="E192" s="94"/>
      <c r="F192" s="94"/>
      <c r="G192" s="94"/>
      <c r="H192" s="200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0"/>
      <c r="AB192" s="131"/>
      <c r="AC192" s="5"/>
      <c r="AD192" s="5"/>
      <c r="AE192" s="5"/>
      <c r="AF192" s="5"/>
      <c r="AU192" s="6">
        <f>H129/H6</f>
        <v>0.5653266331658291</v>
      </c>
    </row>
    <row r="193" spans="1:47" ht="12.75">
      <c r="A193" s="205"/>
      <c r="B193" s="94"/>
      <c r="C193" s="94"/>
      <c r="D193" s="205" t="s">
        <v>227</v>
      </c>
      <c r="E193" s="95"/>
      <c r="F193" s="95"/>
      <c r="G193" s="94"/>
      <c r="H193" s="200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0"/>
      <c r="AB193" s="131"/>
      <c r="AC193" s="5"/>
      <c r="AD193" s="5"/>
      <c r="AE193" s="5"/>
      <c r="AF193" s="5"/>
      <c r="AU193" s="6">
        <f ca="1">IF(E129=0,D129*C3,IF(INDIRECT(AE116)&gt;0,E129,D129*C3))</f>
        <v>3510</v>
      </c>
    </row>
    <row r="194" spans="1:47" ht="12.75">
      <c r="A194" s="203"/>
      <c r="B194" s="94"/>
      <c r="C194" s="94"/>
      <c r="D194" s="205" t="s">
        <v>228</v>
      </c>
      <c r="E194" s="95"/>
      <c r="F194" s="95"/>
      <c r="G194" s="94"/>
      <c r="H194" s="200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0"/>
      <c r="AB194" s="131"/>
      <c r="AC194" s="5"/>
      <c r="AD194" s="5"/>
      <c r="AE194" s="5"/>
      <c r="AF194" s="5"/>
      <c r="AU194" s="6">
        <f ca="1">IF(AE117=0,0,HLOOKUP(A1,INDIRECT(AE21),3,FALSE)*INDIRECT(AE117)*0.01)</f>
        <v>0</v>
      </c>
    </row>
    <row r="195" spans="1:47" ht="12.75">
      <c r="A195" s="196"/>
      <c r="B195" s="94"/>
      <c r="C195" s="94"/>
      <c r="D195" s="211" t="s">
        <v>234</v>
      </c>
      <c r="E195" s="95"/>
      <c r="F195" s="95"/>
      <c r="G195" s="94"/>
      <c r="H195" s="200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0"/>
      <c r="AB195" s="131"/>
      <c r="AC195" s="5"/>
      <c r="AD195" s="5"/>
      <c r="AE195" s="5"/>
      <c r="AF195" s="5"/>
      <c r="AU195" s="6">
        <f>H130/C3</f>
        <v>91</v>
      </c>
    </row>
    <row r="196" spans="1:47" ht="12.75">
      <c r="A196" s="196"/>
      <c r="B196" s="94"/>
      <c r="C196" s="94"/>
      <c r="D196" s="212" t="s">
        <v>229</v>
      </c>
      <c r="E196" s="95"/>
      <c r="F196" s="95"/>
      <c r="G196" s="94"/>
      <c r="H196" s="200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0"/>
      <c r="AB196" s="131"/>
      <c r="AC196" s="5"/>
      <c r="AD196" s="5"/>
      <c r="AE196" s="5"/>
      <c r="AF196" s="5"/>
      <c r="AU196" s="6">
        <f>H130/H6</f>
        <v>1.14321608040201</v>
      </c>
    </row>
    <row r="197" spans="1:47" ht="12.75">
      <c r="A197" s="206"/>
      <c r="B197" s="201"/>
      <c r="C197" s="201"/>
      <c r="D197" s="201"/>
      <c r="E197" s="202"/>
      <c r="F197" s="202"/>
      <c r="G197" s="207"/>
      <c r="H197" s="208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0"/>
      <c r="AB197" s="131"/>
      <c r="AC197" s="5"/>
      <c r="AD197" s="5"/>
      <c r="AE197" s="5"/>
      <c r="AF197" s="5"/>
      <c r="AU197" s="6">
        <f ca="1">IF(E130=0,D130*C3,IF(INDIRECT(AE117)&gt;0,E130,D130*C3))</f>
        <v>7098</v>
      </c>
    </row>
    <row r="198" spans="1:47" ht="12.75">
      <c r="A198" s="94"/>
      <c r="B198" s="94"/>
      <c r="C198" s="94"/>
      <c r="D198" s="94"/>
      <c r="E198" s="95"/>
      <c r="F198" s="95"/>
      <c r="G198" s="96"/>
      <c r="H198" s="96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8"/>
      <c r="AB198" s="139"/>
      <c r="AC198" s="5"/>
      <c r="AD198" s="5"/>
      <c r="AE198" s="5"/>
      <c r="AF198" s="5"/>
      <c r="AU198" s="6">
        <f ca="1">IF(AE118=0,0,HLOOKUP(A1,INDIRECT(AE21),4,FALSE)*INDIRECT(AE118)*0.01)</f>
        <v>0</v>
      </c>
    </row>
    <row r="199" spans="1:47" ht="12.75">
      <c r="A199" s="94"/>
      <c r="B199" s="94"/>
      <c r="C199" s="94"/>
      <c r="D199" s="94"/>
      <c r="E199" s="96"/>
      <c r="F199" s="94"/>
      <c r="G199" s="96"/>
      <c r="H199" s="96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8"/>
      <c r="AB199" s="139"/>
      <c r="AC199" s="5"/>
      <c r="AD199" s="5"/>
      <c r="AE199" s="5"/>
      <c r="AF199" s="5"/>
      <c r="AU199" s="6">
        <f>H131/C3</f>
        <v>200</v>
      </c>
    </row>
    <row r="200" spans="1:47" ht="12.75">
      <c r="A200" s="94"/>
      <c r="B200" s="94"/>
      <c r="C200" s="94"/>
      <c r="D200" s="94"/>
      <c r="E200" s="94"/>
      <c r="F200" s="94"/>
      <c r="G200" s="96"/>
      <c r="H200" s="96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8"/>
      <c r="AB200" s="139"/>
      <c r="AC200" s="5"/>
      <c r="AD200" s="5"/>
      <c r="AE200" s="5"/>
      <c r="AF200" s="5"/>
      <c r="AU200" s="6">
        <f>H131/H6</f>
        <v>2.5125628140703515</v>
      </c>
    </row>
    <row r="201" spans="1:47" ht="12.75">
      <c r="A201" s="94"/>
      <c r="B201" s="94"/>
      <c r="C201" s="94"/>
      <c r="D201" s="94"/>
      <c r="E201" s="94"/>
      <c r="F201" s="94"/>
      <c r="G201" s="94"/>
      <c r="H201" s="94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8"/>
      <c r="AB201" s="139"/>
      <c r="AC201" s="5"/>
      <c r="AD201" s="5"/>
      <c r="AE201" s="5"/>
      <c r="AF201" s="5"/>
      <c r="AU201" s="6">
        <f ca="1">IF(E131=0,D131*C3,IF(INDIRECT(AE118)&gt;0,E131,D131*C3))</f>
        <v>15600</v>
      </c>
    </row>
    <row r="202" spans="1:47" ht="12.75">
      <c r="A202" s="94"/>
      <c r="B202" s="94"/>
      <c r="C202" s="94"/>
      <c r="D202" s="94"/>
      <c r="E202" s="96"/>
      <c r="F202" s="94"/>
      <c r="G202" s="96"/>
      <c r="H202" s="96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0"/>
      <c r="AB202" s="131"/>
      <c r="AC202" s="5"/>
      <c r="AD202" s="5"/>
      <c r="AE202" s="5"/>
      <c r="AF202" s="5"/>
      <c r="AU202" s="6">
        <f ca="1">IF(AE119=0,0,HLOOKUP(A1,INDIRECT(AE21),5,FALSE)*INDIRECT(AE119)*0.01)</f>
        <v>0</v>
      </c>
    </row>
    <row r="203" spans="1:47" ht="12.75">
      <c r="A203" s="94"/>
      <c r="B203" s="94"/>
      <c r="C203" s="94"/>
      <c r="D203" s="94"/>
      <c r="E203" s="96"/>
      <c r="F203" s="94"/>
      <c r="G203" s="96"/>
      <c r="H203" s="96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8"/>
      <c r="AB203" s="139"/>
      <c r="AC203" s="5"/>
      <c r="AD203" s="5"/>
      <c r="AE203" s="5"/>
      <c r="AF203" s="5"/>
      <c r="AU203" s="6">
        <f>H132/C3</f>
        <v>0</v>
      </c>
    </row>
    <row r="204" spans="1:47" ht="12.75">
      <c r="A204" s="94"/>
      <c r="B204" s="94"/>
      <c r="C204" s="94"/>
      <c r="D204" s="94"/>
      <c r="E204" s="96"/>
      <c r="F204" s="94"/>
      <c r="G204" s="96"/>
      <c r="H204" s="96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8"/>
      <c r="AB204" s="139"/>
      <c r="AC204" s="77"/>
      <c r="AD204" s="77"/>
      <c r="AE204" s="77"/>
      <c r="AU204" s="6">
        <f>H132/H6</f>
        <v>0</v>
      </c>
    </row>
    <row r="205" spans="1:47" ht="12.75">
      <c r="A205" s="94"/>
      <c r="B205" s="94"/>
      <c r="C205" s="94"/>
      <c r="D205" s="94"/>
      <c r="E205" s="96"/>
      <c r="F205" s="94"/>
      <c r="G205" s="96"/>
      <c r="H205" s="96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8"/>
      <c r="AB205" s="139"/>
      <c r="AC205" s="77"/>
      <c r="AD205" s="77"/>
      <c r="AE205" s="77"/>
      <c r="AU205" s="6">
        <f ca="1">IF(E132=0,D132*C3,IF(INDIRECT(AE119)&gt;0,E132,D132*C3))</f>
        <v>0</v>
      </c>
    </row>
    <row r="206" spans="1:47" ht="12.75">
      <c r="A206" s="77"/>
      <c r="B206" s="77"/>
      <c r="C206" s="77"/>
      <c r="D206" s="77"/>
      <c r="E206" s="78"/>
      <c r="F206" s="77"/>
      <c r="G206" s="78"/>
      <c r="H206" s="78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38"/>
      <c r="AB206" s="139"/>
      <c r="AC206" s="77"/>
      <c r="AD206" s="77"/>
      <c r="AE206" s="77"/>
      <c r="AU206" s="6">
        <f ca="1">IF(AE120=0,0,HLOOKUP(A1,INDIRECT(AE21),6,FALSE)*INDIRECT(AE120)*0.01)</f>
        <v>0</v>
      </c>
    </row>
    <row r="207" spans="1:47" ht="12.75">
      <c r="A207" s="77"/>
      <c r="B207" s="77"/>
      <c r="C207" s="79"/>
      <c r="D207" s="77"/>
      <c r="E207" s="77"/>
      <c r="F207" s="77"/>
      <c r="G207" s="79"/>
      <c r="H207" s="77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4"/>
      <c r="AB207" s="174"/>
      <c r="AC207" s="77"/>
      <c r="AD207" s="77"/>
      <c r="AE207" s="77"/>
      <c r="AU207" s="6">
        <f>H133/C3</f>
        <v>110</v>
      </c>
    </row>
    <row r="208" spans="1:47" ht="12.75">
      <c r="A208" s="77"/>
      <c r="B208" s="77"/>
      <c r="C208" s="77"/>
      <c r="D208" s="77"/>
      <c r="E208" s="77"/>
      <c r="F208" s="79"/>
      <c r="G208" s="78"/>
      <c r="H208" s="78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5"/>
      <c r="AB208" s="175"/>
      <c r="AC208" s="77"/>
      <c r="AD208" s="77"/>
      <c r="AE208" s="77"/>
      <c r="AU208" s="6">
        <f>H133/H6</f>
        <v>1.3819095477386933</v>
      </c>
    </row>
    <row r="209" spans="1:47" ht="12.75">
      <c r="A209" s="77"/>
      <c r="B209" s="77"/>
      <c r="C209" s="77"/>
      <c r="D209" s="77"/>
      <c r="E209" s="78"/>
      <c r="F209" s="77"/>
      <c r="G209" s="78"/>
      <c r="H209" s="78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77"/>
      <c r="AD209" s="77"/>
      <c r="AE209" s="77"/>
      <c r="AU209" s="6">
        <f ca="1">IF(E133=0,D133*C3,IF(INDIRECT(AE120)&gt;0,E133,D133*C3))</f>
        <v>8580</v>
      </c>
    </row>
    <row r="210" spans="1:47" ht="12.75">
      <c r="A210" s="77"/>
      <c r="B210" s="77"/>
      <c r="C210" s="77"/>
      <c r="D210" s="77"/>
      <c r="E210" s="78"/>
      <c r="F210" s="79"/>
      <c r="G210" s="78"/>
      <c r="H210" s="78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77"/>
      <c r="AD210" s="77"/>
      <c r="AE210" s="77"/>
      <c r="AU210" s="6">
        <f ca="1">IF(AE123=0,0,HLOOKUP(A1,INDIRECT(AE21),7,FALSE)*INDIRECT(AE123)*0.01)</f>
        <v>0</v>
      </c>
    </row>
    <row r="211" spans="1:47" ht="12.75">
      <c r="A211" s="77"/>
      <c r="B211" s="77"/>
      <c r="C211" s="79"/>
      <c r="D211" s="77"/>
      <c r="E211" s="78"/>
      <c r="F211" s="79"/>
      <c r="G211" s="78"/>
      <c r="H211" s="78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77"/>
      <c r="AD211" s="77"/>
      <c r="AE211" s="77"/>
      <c r="AU211" s="6">
        <f>H136/C3</f>
        <v>46.705128205128204</v>
      </c>
    </row>
    <row r="212" spans="1:47" ht="12.75">
      <c r="A212" s="77"/>
      <c r="B212" s="77"/>
      <c r="C212" s="77"/>
      <c r="D212" s="77"/>
      <c r="E212" s="78"/>
      <c r="F212" s="79"/>
      <c r="G212" s="78"/>
      <c r="H212" s="78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77"/>
      <c r="AD212" s="77"/>
      <c r="AE212" s="77"/>
      <c r="AU212" s="6">
        <f>H136/H6</f>
        <v>0.5867478417729673</v>
      </c>
    </row>
    <row r="213" spans="1:47" ht="12.75">
      <c r="A213" s="77"/>
      <c r="B213" s="77"/>
      <c r="C213" s="79"/>
      <c r="D213" s="77"/>
      <c r="E213" s="77"/>
      <c r="F213" s="79"/>
      <c r="G213" s="78"/>
      <c r="H213" s="78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81"/>
      <c r="AD213" s="77"/>
      <c r="AE213" s="77"/>
      <c r="AU213" s="6">
        <f ca="1">IF(E136=0,AD121,IF(INDIRECT(AE123)&gt;0,E136,AD121))</f>
        <v>3643</v>
      </c>
    </row>
    <row r="214" spans="1:47" ht="12.75">
      <c r="A214" s="77"/>
      <c r="B214" s="77"/>
      <c r="C214" s="80"/>
      <c r="D214" s="77"/>
      <c r="E214" s="77"/>
      <c r="F214" s="79"/>
      <c r="G214" s="77"/>
      <c r="H214" s="77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4"/>
      <c r="AB214" s="174"/>
      <c r="AC214" s="77"/>
      <c r="AD214" s="77"/>
      <c r="AE214" s="77"/>
      <c r="AU214" s="6">
        <f>H51/(E38+E44)</f>
        <v>19.891925407735798</v>
      </c>
    </row>
    <row r="215" spans="1:47" ht="12.75">
      <c r="A215" s="77"/>
      <c r="B215" s="77"/>
      <c r="C215" s="77"/>
      <c r="D215" s="77"/>
      <c r="E215" s="78"/>
      <c r="F215" s="77"/>
      <c r="G215" s="78"/>
      <c r="H215" s="78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5"/>
      <c r="AB215" s="175"/>
      <c r="AC215" s="77"/>
      <c r="AD215" s="77"/>
      <c r="AE215" s="77"/>
      <c r="AU215" s="6">
        <f>H138/C3</f>
        <v>4160.432846153846</v>
      </c>
    </row>
    <row r="216" spans="1:47" ht="12.75">
      <c r="A216" s="77"/>
      <c r="B216" s="77"/>
      <c r="C216" s="77"/>
      <c r="D216" s="77"/>
      <c r="E216" s="78"/>
      <c r="F216" s="79"/>
      <c r="G216" s="78"/>
      <c r="H216" s="78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77"/>
      <c r="AD216" s="77"/>
      <c r="AE216" s="77"/>
      <c r="AU216" s="6">
        <f>H138/H6</f>
        <v>52.26674429841515</v>
      </c>
    </row>
    <row r="217" spans="1:47" ht="12.75">
      <c r="A217" s="77"/>
      <c r="B217" s="77"/>
      <c r="C217" s="77"/>
      <c r="D217" s="77"/>
      <c r="E217" s="78"/>
      <c r="F217" s="77"/>
      <c r="G217" s="78"/>
      <c r="H217" s="78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77"/>
      <c r="AD217" s="77"/>
      <c r="AE217" s="77"/>
      <c r="AU217" s="7">
        <f>SUM(H102,H112:H125,H129:H136)</f>
        <v>324513.762</v>
      </c>
    </row>
    <row r="218" spans="1:47" ht="12.75">
      <c r="A218" s="77"/>
      <c r="B218" s="77"/>
      <c r="C218" s="77"/>
      <c r="D218" s="77"/>
      <c r="E218" s="78"/>
      <c r="F218" s="77"/>
      <c r="G218" s="78"/>
      <c r="H218" s="78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77"/>
      <c r="AD218" s="77"/>
      <c r="AE218" s="79"/>
      <c r="AU218" s="6" t="str">
        <f>"  "&amp;FIXED(C3,0,TRUE)&amp;" Cows"</f>
        <v>  78 Cows</v>
      </c>
    </row>
    <row r="219" spans="1:47" ht="12.75">
      <c r="A219" s="77"/>
      <c r="B219" s="77"/>
      <c r="C219" s="79"/>
      <c r="D219" s="79"/>
      <c r="E219" s="79"/>
      <c r="F219" s="79"/>
      <c r="G219" s="78"/>
      <c r="H219" s="78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77"/>
      <c r="AD219" s="77"/>
      <c r="AE219" s="79"/>
      <c r="AU219" s="6">
        <f ca="1">IF(AE128=0,0,HLOOKUP(A1,INDIRECT(AE21),9,FALSE)*INDIRECT(AE128)*0.01)</f>
        <v>0</v>
      </c>
    </row>
    <row r="220" spans="1:47" ht="12.75">
      <c r="A220" s="77"/>
      <c r="B220" s="77"/>
      <c r="C220" s="77"/>
      <c r="D220" s="77"/>
      <c r="E220" s="77"/>
      <c r="F220" s="77"/>
      <c r="G220" s="77"/>
      <c r="H220" s="77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4"/>
      <c r="AB220" s="174"/>
      <c r="AC220" s="79"/>
      <c r="AD220" s="77"/>
      <c r="AE220" s="79"/>
      <c r="AU220" s="6">
        <f>H142/C3</f>
        <v>323</v>
      </c>
    </row>
    <row r="221" spans="1:47" ht="12.75">
      <c r="A221" s="77"/>
      <c r="B221" s="77"/>
      <c r="C221" s="82"/>
      <c r="D221" s="80"/>
      <c r="E221" s="78"/>
      <c r="F221" s="78"/>
      <c r="G221" s="80"/>
      <c r="H221" s="79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  <c r="AA221" s="175"/>
      <c r="AB221" s="175"/>
      <c r="AC221" s="77"/>
      <c r="AD221" s="77"/>
      <c r="AE221" s="79"/>
      <c r="AU221" s="6">
        <f>H142/H6</f>
        <v>4.057788944723618</v>
      </c>
    </row>
    <row r="222" spans="1:47" ht="12.75">
      <c r="A222" s="77"/>
      <c r="B222" s="77"/>
      <c r="C222" s="77"/>
      <c r="D222" s="77"/>
      <c r="E222" s="78"/>
      <c r="F222" s="78"/>
      <c r="G222" s="80"/>
      <c r="H222" s="77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6"/>
      <c r="AB222" s="176"/>
      <c r="AC222" s="77"/>
      <c r="AD222" s="77"/>
      <c r="AE222" s="79"/>
      <c r="AU222" s="6">
        <f ca="1">IF(E142=0,D142*C3,IF(INDIRECT(AE128)&gt;0,E142,D142*C3))</f>
        <v>25194</v>
      </c>
    </row>
    <row r="223" spans="1:47" ht="12.75">
      <c r="A223" s="77"/>
      <c r="B223" s="77"/>
      <c r="C223" s="77"/>
      <c r="D223" s="77"/>
      <c r="E223" s="77"/>
      <c r="F223" s="77"/>
      <c r="G223" s="77"/>
      <c r="H223" s="77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77"/>
      <c r="AD223" s="77"/>
      <c r="AE223" s="77"/>
      <c r="AU223" s="6">
        <f ca="1">IF(AE129=0,0,HLOOKUP(A1,INDIRECT(AE21),10,FALSE)*INDIRECT(AE129)*0.01)</f>
        <v>0</v>
      </c>
    </row>
    <row r="224" spans="1:47" ht="12.75">
      <c r="A224" s="77"/>
      <c r="B224" s="77"/>
      <c r="C224" s="83"/>
      <c r="D224" s="80"/>
      <c r="E224" s="78"/>
      <c r="F224" s="78"/>
      <c r="G224" s="80"/>
      <c r="H224" s="80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  <c r="AA224" s="175"/>
      <c r="AB224" s="175"/>
      <c r="AC224" s="77"/>
      <c r="AD224" s="77"/>
      <c r="AE224" s="79"/>
      <c r="AU224" s="6">
        <f>H143/C3</f>
        <v>510</v>
      </c>
    </row>
    <row r="225" spans="1:47" ht="12.75">
      <c r="A225" s="77"/>
      <c r="B225" s="77"/>
      <c r="C225" s="83"/>
      <c r="D225" s="80"/>
      <c r="E225" s="77"/>
      <c r="F225" s="77"/>
      <c r="G225" s="77"/>
      <c r="H225" s="80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77"/>
      <c r="AD225" s="77"/>
      <c r="AE225" s="79"/>
      <c r="AU225" s="6">
        <f>H143/H6</f>
        <v>6.407035175879397</v>
      </c>
    </row>
    <row r="226" spans="1:47" ht="12.75">
      <c r="A226" s="77"/>
      <c r="B226" s="77"/>
      <c r="C226" s="83"/>
      <c r="D226" s="80"/>
      <c r="E226" s="78"/>
      <c r="F226" s="78"/>
      <c r="G226" s="80"/>
      <c r="H226" s="80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77"/>
      <c r="AD226" s="77"/>
      <c r="AE226" s="79"/>
      <c r="AU226" s="6">
        <f ca="1">IF(E143=0,D143*C3,IF(INDIRECT(AE129)&gt;0,E143,D143*C3))</f>
        <v>39780</v>
      </c>
    </row>
    <row r="227" spans="1:47" ht="12.75">
      <c r="A227" s="77"/>
      <c r="B227" s="79"/>
      <c r="C227" s="79"/>
      <c r="D227" s="79"/>
      <c r="E227" s="78"/>
      <c r="F227" s="78"/>
      <c r="G227" s="80"/>
      <c r="H227" s="79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  <c r="AA227" s="177"/>
      <c r="AB227" s="177"/>
      <c r="AC227" s="77"/>
      <c r="AD227" s="77"/>
      <c r="AE227" s="79"/>
      <c r="AU227" s="6">
        <f ca="1">IF(AE131=0,0,HLOOKUP(A1,INDIRECT(AE21),11,FALSE)*INDIRECT(AE131)*0.01)</f>
        <v>0</v>
      </c>
    </row>
    <row r="228" spans="1:47" ht="12.75">
      <c r="A228" s="77"/>
      <c r="B228" s="79"/>
      <c r="C228" s="79"/>
      <c r="D228" s="79"/>
      <c r="E228" s="78"/>
      <c r="F228" s="78"/>
      <c r="G228" s="80"/>
      <c r="H228" s="79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77"/>
      <c r="AD228" s="77"/>
      <c r="AE228" s="79"/>
      <c r="AU228" s="6">
        <f>H144/C3</f>
        <v>10</v>
      </c>
    </row>
    <row r="229" spans="1:47" ht="12.75">
      <c r="A229" s="77"/>
      <c r="B229" s="77"/>
      <c r="C229" s="77"/>
      <c r="D229" s="77"/>
      <c r="E229" s="78"/>
      <c r="F229" s="78"/>
      <c r="G229" s="80"/>
      <c r="H229" s="77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6"/>
      <c r="AB229" s="176"/>
      <c r="AC229" s="77"/>
      <c r="AD229" s="77"/>
      <c r="AE229" s="79"/>
      <c r="AU229" s="6">
        <f>H144/H6</f>
        <v>0.12562814070351758</v>
      </c>
    </row>
    <row r="230" spans="1:47" ht="12.75">
      <c r="A230" s="77"/>
      <c r="B230" s="77"/>
      <c r="C230" s="77"/>
      <c r="D230" s="80"/>
      <c r="E230" s="78"/>
      <c r="F230" s="78"/>
      <c r="G230" s="80"/>
      <c r="H230" s="80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5"/>
      <c r="AB230" s="175"/>
      <c r="AC230" s="77"/>
      <c r="AD230" s="77"/>
      <c r="AE230" s="79"/>
      <c r="AU230" s="6">
        <f ca="1">IF(E144=0,D144*C3,IF(INDIRECT(AE131)&gt;0,E144,D144*C3))</f>
        <v>780</v>
      </c>
    </row>
    <row r="231" spans="1:47" ht="12.75">
      <c r="A231" s="77"/>
      <c r="B231" s="77"/>
      <c r="C231" s="82"/>
      <c r="D231" s="80"/>
      <c r="E231" s="80"/>
      <c r="F231" s="80"/>
      <c r="G231" s="80"/>
      <c r="H231" s="80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  <c r="AA231" s="177"/>
      <c r="AB231" s="177"/>
      <c r="AC231" s="81"/>
      <c r="AD231" s="77"/>
      <c r="AE231" s="79"/>
      <c r="AU231" s="6">
        <f ca="1">IF(AE132=0,0,HLOOKUP(A1,INDIRECT(AE21),12,FALSE)*INDIRECT(AE132)*0.01)</f>
        <v>0</v>
      </c>
    </row>
    <row r="232" spans="1:47" ht="12.75">
      <c r="A232" s="77"/>
      <c r="B232" s="77"/>
      <c r="C232" s="79"/>
      <c r="D232" s="80"/>
      <c r="E232" s="80"/>
      <c r="F232" s="80"/>
      <c r="G232" s="80"/>
      <c r="H232" s="80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  <c r="AA232" s="177"/>
      <c r="AB232" s="177"/>
      <c r="AC232" s="77"/>
      <c r="AD232" s="77"/>
      <c r="AE232" s="79"/>
      <c r="AU232" s="6">
        <f>H145/C3</f>
        <v>161</v>
      </c>
    </row>
    <row r="233" spans="1:47" ht="12.75">
      <c r="A233" s="77"/>
      <c r="B233" s="77"/>
      <c r="C233" s="84"/>
      <c r="D233" s="80"/>
      <c r="E233" s="79"/>
      <c r="F233" s="80"/>
      <c r="G233" s="80"/>
      <c r="H233" s="80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  <c r="AA233" s="177"/>
      <c r="AB233" s="177"/>
      <c r="AC233" s="77"/>
      <c r="AD233" s="77"/>
      <c r="AE233" s="77"/>
      <c r="AU233" s="6">
        <f>H145/H6</f>
        <v>2.022613065326633</v>
      </c>
    </row>
    <row r="234" spans="1:47" ht="12.75">
      <c r="A234" s="77"/>
      <c r="B234" s="77"/>
      <c r="C234" s="84"/>
      <c r="D234" s="77"/>
      <c r="E234" s="77"/>
      <c r="F234" s="77"/>
      <c r="G234" s="77"/>
      <c r="H234" s="77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7"/>
      <c r="AB234" s="177"/>
      <c r="AC234" s="77"/>
      <c r="AD234" s="77"/>
      <c r="AE234" s="77"/>
      <c r="AU234" s="6">
        <f ca="1">IF(E145=0,D145*C3,IF(INDIRECT(AE132)&gt;0,E145,D145*C3))</f>
        <v>12558</v>
      </c>
    </row>
    <row r="235" spans="1:47" ht="12.75">
      <c r="A235" s="77"/>
      <c r="B235" s="79"/>
      <c r="C235" s="79"/>
      <c r="D235" s="80"/>
      <c r="E235" s="80"/>
      <c r="F235" s="80"/>
      <c r="G235" s="80"/>
      <c r="H235" s="80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  <c r="AA235" s="175"/>
      <c r="AB235" s="175"/>
      <c r="AC235" s="77"/>
      <c r="AD235" s="77"/>
      <c r="AE235" s="77"/>
      <c r="AU235" s="6">
        <f>H147/C3</f>
        <v>1004</v>
      </c>
    </row>
    <row r="236" spans="1:47" ht="12.75">
      <c r="A236" s="77"/>
      <c r="B236" s="77"/>
      <c r="C236" s="82"/>
      <c r="D236" s="80"/>
      <c r="E236" s="80"/>
      <c r="F236" s="80"/>
      <c r="G236" s="80"/>
      <c r="H236" s="80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  <c r="AA236" s="177"/>
      <c r="AB236" s="177"/>
      <c r="AC236" s="77"/>
      <c r="AD236" s="77"/>
      <c r="AE236" s="77"/>
      <c r="AU236" s="6">
        <f>H147/H6</f>
        <v>12.613065326633166</v>
      </c>
    </row>
    <row r="237" spans="1:47" ht="12.75">
      <c r="A237" s="77"/>
      <c r="B237" s="77"/>
      <c r="C237" s="77"/>
      <c r="D237" s="80"/>
      <c r="E237" s="80"/>
      <c r="F237" s="80"/>
      <c r="G237" s="80"/>
      <c r="H237" s="80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  <c r="AA237" s="177"/>
      <c r="AB237" s="177"/>
      <c r="AC237" s="77"/>
      <c r="AD237" s="77"/>
      <c r="AE237" s="77"/>
      <c r="AU237" s="7">
        <f>SUM(H142:H145)</f>
        <v>78312</v>
      </c>
    </row>
    <row r="238" spans="1:47" ht="12.75">
      <c r="A238" s="77"/>
      <c r="B238" s="77"/>
      <c r="C238" s="82"/>
      <c r="D238" s="80"/>
      <c r="E238" s="80"/>
      <c r="F238" s="80"/>
      <c r="G238" s="80"/>
      <c r="H238" s="80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  <c r="AA238" s="177"/>
      <c r="AB238" s="177"/>
      <c r="AC238" s="77"/>
      <c r="AD238" s="77"/>
      <c r="AE238" s="77"/>
      <c r="AU238" s="6">
        <f>G151/C3</f>
        <v>6601.061153846154</v>
      </c>
    </row>
    <row r="239" spans="1:47" ht="12.75">
      <c r="A239" s="77"/>
      <c r="B239" s="77"/>
      <c r="C239" s="79"/>
      <c r="D239" s="80"/>
      <c r="E239" s="80"/>
      <c r="F239" s="80"/>
      <c r="G239" s="80"/>
      <c r="H239" s="80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  <c r="AA239" s="177"/>
      <c r="AB239" s="177"/>
      <c r="AC239" s="81"/>
      <c r="AD239" s="77"/>
      <c r="AE239" s="77"/>
      <c r="AU239" s="6">
        <f>G151/H6</f>
        <v>82.92790394279088</v>
      </c>
    </row>
    <row r="240" spans="1:47" ht="12.75">
      <c r="A240" s="77"/>
      <c r="B240" s="79"/>
      <c r="C240" s="85"/>
      <c r="D240" s="80"/>
      <c r="E240" s="80"/>
      <c r="F240" s="80"/>
      <c r="G240" s="80"/>
      <c r="H240" s="80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86"/>
      <c r="AD240" s="77"/>
      <c r="AE240" s="86"/>
      <c r="AU240" s="53">
        <f>G72+H51</f>
        <v>514882.77</v>
      </c>
    </row>
    <row r="241" spans="1:47" ht="12.75">
      <c r="A241" s="77"/>
      <c r="B241" s="79"/>
      <c r="C241" s="85"/>
      <c r="D241" s="80"/>
      <c r="E241" s="80"/>
      <c r="F241" s="80"/>
      <c r="G241" s="80"/>
      <c r="H241" s="80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  <c r="AA241" s="177"/>
      <c r="AB241" s="177"/>
      <c r="AC241" s="86"/>
      <c r="AD241" s="86"/>
      <c r="AE241" s="86"/>
      <c r="AU241" s="6">
        <f>G152/C3</f>
        <v>4160.432846153846</v>
      </c>
    </row>
    <row r="242" spans="1:47" ht="12.75">
      <c r="A242" s="77"/>
      <c r="B242" s="79"/>
      <c r="C242" s="85"/>
      <c r="D242" s="80"/>
      <c r="E242" s="80"/>
      <c r="F242" s="80"/>
      <c r="G242" s="80"/>
      <c r="H242" s="80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86"/>
      <c r="AD242" s="86"/>
      <c r="AE242" s="86"/>
      <c r="AU242" s="6">
        <f>G152/H6</f>
        <v>52.26674429841515</v>
      </c>
    </row>
    <row r="243" spans="1:47" ht="12.75">
      <c r="A243" s="77"/>
      <c r="B243" s="77"/>
      <c r="C243" s="85"/>
      <c r="D243" s="86"/>
      <c r="E243" s="86"/>
      <c r="F243" s="86"/>
      <c r="G243" s="86"/>
      <c r="H243" s="86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7"/>
      <c r="AB243" s="177"/>
      <c r="AC243" s="81"/>
      <c r="AD243" s="86"/>
      <c r="AE243" s="86"/>
      <c r="AU243" s="7">
        <f>H138</f>
        <v>324513.762</v>
      </c>
    </row>
    <row r="244" spans="1:47" ht="12.75">
      <c r="A244" s="77"/>
      <c r="B244" s="77"/>
      <c r="C244" s="85"/>
      <c r="D244" s="80"/>
      <c r="E244" s="86"/>
      <c r="F244" s="86"/>
      <c r="G244" s="86"/>
      <c r="H244" s="80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8"/>
      <c r="AB244" s="178"/>
      <c r="AC244" s="86"/>
      <c r="AD244" s="86"/>
      <c r="AE244" s="86"/>
      <c r="AU244" s="6">
        <f>G154/C3</f>
        <v>2440.628307692308</v>
      </c>
    </row>
    <row r="245" spans="1:47" ht="12.75">
      <c r="A245" s="77"/>
      <c r="B245" s="77"/>
      <c r="C245" s="79"/>
      <c r="D245" s="80"/>
      <c r="E245" s="79"/>
      <c r="F245" s="80"/>
      <c r="G245" s="80"/>
      <c r="H245" s="80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86"/>
      <c r="AD245" s="86"/>
      <c r="AE245" s="86"/>
      <c r="AU245" s="6">
        <f>G154/H6</f>
        <v>30.66115964437573</v>
      </c>
    </row>
    <row r="246" spans="1:47" ht="12.75">
      <c r="A246" s="77"/>
      <c r="B246" s="79"/>
      <c r="C246" s="85"/>
      <c r="D246" s="77"/>
      <c r="E246" s="77"/>
      <c r="F246" s="77"/>
      <c r="G246" s="77"/>
      <c r="H246" s="77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7"/>
      <c r="AB246" s="177"/>
      <c r="AC246" s="77"/>
      <c r="AD246" s="77"/>
      <c r="AE246" s="77"/>
      <c r="AU246" s="7">
        <f>G151-G152</f>
        <v>190369.00800000003</v>
      </c>
    </row>
    <row r="247" spans="1:47" ht="12.75">
      <c r="A247" s="77"/>
      <c r="B247" s="79"/>
      <c r="C247" s="85"/>
      <c r="D247" s="80"/>
      <c r="E247" s="80"/>
      <c r="F247" s="80"/>
      <c r="G247" s="80"/>
      <c r="H247" s="80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5"/>
      <c r="AB247" s="175"/>
      <c r="AC247" s="81"/>
      <c r="AD247" s="77"/>
      <c r="AE247" s="77"/>
      <c r="AU247" s="6">
        <f>G155/C3</f>
        <v>1004</v>
      </c>
    </row>
    <row r="248" spans="1:47" ht="12.75">
      <c r="A248" s="77"/>
      <c r="B248" s="79"/>
      <c r="C248" s="85"/>
      <c r="D248" s="80"/>
      <c r="E248" s="80"/>
      <c r="F248" s="80"/>
      <c r="G248" s="80"/>
      <c r="H248" s="80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81"/>
      <c r="AD248" s="77"/>
      <c r="AE248" s="77"/>
      <c r="AU248" s="6">
        <f>G155/H6</f>
        <v>12.613065326633166</v>
      </c>
    </row>
    <row r="249" spans="1:47" ht="12.75">
      <c r="A249" s="77"/>
      <c r="B249" s="77"/>
      <c r="C249" s="77"/>
      <c r="D249" s="80"/>
      <c r="E249" s="80"/>
      <c r="F249" s="80"/>
      <c r="G249" s="80"/>
      <c r="H249" s="80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  <c r="AA249" s="177"/>
      <c r="AB249" s="177"/>
      <c r="AC249" s="81"/>
      <c r="AD249" s="77"/>
      <c r="AE249" s="77"/>
      <c r="AU249" s="7">
        <f>H147</f>
        <v>78312</v>
      </c>
    </row>
    <row r="250" spans="1:47" ht="12.75">
      <c r="A250" s="77"/>
      <c r="B250" s="77"/>
      <c r="C250" s="77"/>
      <c r="D250" s="80"/>
      <c r="E250" s="80"/>
      <c r="F250" s="80"/>
      <c r="G250" s="80"/>
      <c r="H250" s="80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81"/>
      <c r="AD250" s="77"/>
      <c r="AE250" s="77"/>
      <c r="AU250" s="6">
        <f>G157/C3</f>
        <v>1436.628307692308</v>
      </c>
    </row>
    <row r="251" spans="1:47" ht="12.75">
      <c r="A251" s="77"/>
      <c r="B251" s="77"/>
      <c r="C251" s="77"/>
      <c r="D251" s="80"/>
      <c r="E251" s="80"/>
      <c r="F251" s="80"/>
      <c r="G251" s="80"/>
      <c r="H251" s="80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81"/>
      <c r="AD251" s="77"/>
      <c r="AE251" s="77"/>
      <c r="AU251" s="6">
        <f>G157/H6</f>
        <v>18.048094317742564</v>
      </c>
    </row>
    <row r="252" spans="1:47" ht="12.75">
      <c r="A252" s="77"/>
      <c r="B252" s="77"/>
      <c r="C252" s="79"/>
      <c r="D252" s="80"/>
      <c r="E252" s="80"/>
      <c r="F252" s="80"/>
      <c r="G252" s="80"/>
      <c r="H252" s="80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77"/>
      <c r="AD252" s="77"/>
      <c r="AE252" s="77"/>
      <c r="AU252" s="7">
        <f>G154-G155</f>
        <v>112057.00800000003</v>
      </c>
    </row>
    <row r="253" spans="1:47" ht="12.75">
      <c r="A253" s="77"/>
      <c r="B253" s="77"/>
      <c r="C253" s="79"/>
      <c r="D253" s="80"/>
      <c r="E253" s="80"/>
      <c r="F253" s="80"/>
      <c r="G253" s="80"/>
      <c r="H253" s="80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81"/>
      <c r="AD253" s="77"/>
      <c r="AE253" s="77"/>
      <c r="AU253" s="6">
        <f>G163*G152/(G152+G155)</f>
        <v>48.45962989918554</v>
      </c>
    </row>
    <row r="254" spans="1:47" ht="12.75">
      <c r="A254" s="77"/>
      <c r="B254" s="77"/>
      <c r="C254" s="79"/>
      <c r="D254" s="80"/>
      <c r="E254" s="80"/>
      <c r="F254" s="80"/>
      <c r="G254" s="80"/>
      <c r="H254" s="80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81"/>
      <c r="AD254" s="77"/>
      <c r="AE254" s="77"/>
      <c r="AU254" s="6">
        <f>H163*G152/(G152+G155)</f>
        <v>12.35325387914456</v>
      </c>
    </row>
    <row r="255" spans="1:47" ht="12.75">
      <c r="A255" s="77"/>
      <c r="B255" s="77"/>
      <c r="C255" s="80"/>
      <c r="D255" s="86"/>
      <c r="E255" s="86"/>
      <c r="F255" s="86"/>
      <c r="G255" s="86"/>
      <c r="H255" s="86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8"/>
      <c r="AA255" s="177"/>
      <c r="AB255" s="177"/>
      <c r="AC255" s="81"/>
      <c r="AD255" s="77"/>
      <c r="AE255" s="77"/>
      <c r="AU255" s="6">
        <f>G163*G155/(G152+G155)</f>
        <v>11.694328503285535</v>
      </c>
    </row>
    <row r="256" spans="1:47" ht="12.75">
      <c r="A256" s="77"/>
      <c r="B256" s="77"/>
      <c r="C256" s="79"/>
      <c r="D256" s="80"/>
      <c r="E256" s="80"/>
      <c r="F256" s="80"/>
      <c r="G256" s="80"/>
      <c r="H256" s="80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  <c r="AA256" s="178"/>
      <c r="AB256" s="178"/>
      <c r="AC256" s="77"/>
      <c r="AD256" s="77"/>
      <c r="AE256" s="77"/>
      <c r="AU256" s="6">
        <f>H163*G155/(G152+G155)</f>
        <v>2.9811001290711636</v>
      </c>
    </row>
    <row r="257" spans="1:47" ht="12.75">
      <c r="A257" s="77"/>
      <c r="B257" s="77"/>
      <c r="C257" s="79"/>
      <c r="D257" s="80"/>
      <c r="E257" s="79"/>
      <c r="F257" s="80"/>
      <c r="G257" s="80"/>
      <c r="H257" s="80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  <c r="AA257" s="177"/>
      <c r="AB257" s="177"/>
      <c r="AC257" s="77"/>
      <c r="AD257" s="77"/>
      <c r="AE257" s="77"/>
      <c r="AU257" s="6">
        <f>F157/E157</f>
        <v>0.01256281407035176</v>
      </c>
    </row>
    <row r="258" spans="1:47" ht="12.75">
      <c r="A258" s="77"/>
      <c r="B258" s="77"/>
      <c r="C258" s="79"/>
      <c r="D258" s="77"/>
      <c r="E258" s="77"/>
      <c r="F258" s="77"/>
      <c r="G258" s="77"/>
      <c r="H258" s="77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7"/>
      <c r="AB258" s="177"/>
      <c r="AC258" s="77"/>
      <c r="AD258" s="77"/>
      <c r="AE258" s="77"/>
      <c r="AU258" s="6">
        <f>((G152+G155-G72)/H51)*(H51/H5)</f>
        <v>60.153958402471076</v>
      </c>
    </row>
    <row r="259" spans="1:47" ht="12.75">
      <c r="A259" s="77"/>
      <c r="B259" s="77"/>
      <c r="C259" s="79"/>
      <c r="D259" s="80"/>
      <c r="E259" s="80"/>
      <c r="F259" s="80"/>
      <c r="G259" s="80"/>
      <c r="H259" s="80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  <c r="AA259" s="175"/>
      <c r="AB259" s="175"/>
      <c r="AC259" s="78"/>
      <c r="AD259" s="77"/>
      <c r="AE259" s="79"/>
      <c r="AU259" s="6">
        <f>((G152+G155-G72)/H51)*AE135</f>
        <v>15.334354008215724</v>
      </c>
    </row>
    <row r="260" spans="1:47" ht="12.75">
      <c r="A260" s="77"/>
      <c r="B260" s="77"/>
      <c r="C260" s="79"/>
      <c r="D260" s="80"/>
      <c r="E260" s="80"/>
      <c r="F260" s="80"/>
      <c r="G260" s="80"/>
      <c r="H260" s="80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  <c r="AA260" s="177"/>
      <c r="AB260" s="177"/>
      <c r="AC260" s="78"/>
      <c r="AD260" s="77"/>
      <c r="AE260" s="79"/>
      <c r="AU260" s="7">
        <f>E157</f>
        <v>1436.628307692308</v>
      </c>
    </row>
    <row r="261" spans="1:47" ht="12.75">
      <c r="A261" s="77"/>
      <c r="B261" s="77"/>
      <c r="C261" s="77"/>
      <c r="D261" s="80"/>
      <c r="E261" s="80"/>
      <c r="F261" s="80"/>
      <c r="G261" s="80"/>
      <c r="H261" s="80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78"/>
      <c r="AD261" s="77"/>
      <c r="AE261" s="79"/>
      <c r="AU261" s="6">
        <f>((G152+G155-G72)/H54)*AD135</f>
        <v>0</v>
      </c>
    </row>
    <row r="262" spans="1:47" ht="12.75">
      <c r="A262" s="77"/>
      <c r="B262" s="77"/>
      <c r="C262" s="82"/>
      <c r="D262" s="80"/>
      <c r="E262" s="80"/>
      <c r="F262" s="80"/>
      <c r="G262" s="80"/>
      <c r="H262" s="80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  <c r="AA262" s="177"/>
      <c r="AB262" s="177"/>
      <c r="AC262" s="78"/>
      <c r="AD262" s="77"/>
      <c r="AE262" s="79"/>
      <c r="AU262" s="6">
        <f>C3^2*((H29-D29)/200)^2*F30^2*G38^2*((F31/100)*(1-(G44/G38))+G44)^2</f>
        <v>247608563.53796262</v>
      </c>
    </row>
    <row r="263" spans="1:47" ht="12.75">
      <c r="A263" s="77"/>
      <c r="B263" s="77"/>
      <c r="C263" s="77"/>
      <c r="D263" s="80"/>
      <c r="E263" s="80"/>
      <c r="F263" s="80"/>
      <c r="G263" s="80"/>
      <c r="H263" s="80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  <c r="AA263" s="177"/>
      <c r="AB263" s="177"/>
      <c r="AC263" s="78"/>
      <c r="AD263" s="77"/>
      <c r="AE263" s="79"/>
      <c r="AU263" s="6">
        <f>IF(AC161&gt;0,1-AC172,AC172)</f>
        <v>0.9999999906401024</v>
      </c>
    </row>
    <row r="264" spans="1:47" ht="12.75">
      <c r="A264" s="77"/>
      <c r="B264" s="77"/>
      <c r="C264" s="77"/>
      <c r="D264" s="80"/>
      <c r="E264" s="80"/>
      <c r="F264" s="80"/>
      <c r="G264" s="80"/>
      <c r="H264" s="80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77"/>
      <c r="AD264" s="77"/>
      <c r="AE264" s="77"/>
      <c r="AU264" s="6">
        <f>(H30/2-D30/2)^2*C3^2*(F29/100)^2*G38^2*((F31/100)*(1-G44/G38)+G44)^2</f>
        <v>123791649.96796392</v>
      </c>
    </row>
    <row r="265" spans="1:47" ht="12.75">
      <c r="A265" s="77"/>
      <c r="B265" s="77"/>
      <c r="C265" s="77"/>
      <c r="D265" s="80"/>
      <c r="E265" s="80"/>
      <c r="F265" s="80"/>
      <c r="G265" s="80"/>
      <c r="H265" s="80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  <c r="AA265" s="177"/>
      <c r="AB265" s="177"/>
      <c r="AC265" s="77"/>
      <c r="AD265" s="77"/>
      <c r="AE265" s="77"/>
      <c r="AU265" s="6">
        <f>IF(AC161-D167&gt;0,1-AD169,AD169)</f>
        <v>0.7674838439170919</v>
      </c>
    </row>
    <row r="266" spans="1:47" ht="12.75">
      <c r="A266" s="77"/>
      <c r="B266" s="77"/>
      <c r="C266" s="77"/>
      <c r="D266" s="80"/>
      <c r="E266" s="80"/>
      <c r="F266" s="80"/>
      <c r="G266" s="80"/>
      <c r="H266" s="80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78"/>
      <c r="AD266" s="79"/>
      <c r="AE266" s="79"/>
      <c r="AU266" s="6">
        <f>(H31/200-D31/200)^2*C3^2*(F29/100)^2*F30^2*G38^2</f>
        <v>25610582.46638965</v>
      </c>
    </row>
    <row r="267" spans="1:47" ht="12.75">
      <c r="A267" s="77"/>
      <c r="B267" s="77"/>
      <c r="C267" s="79"/>
      <c r="D267" s="86"/>
      <c r="E267" s="86"/>
      <c r="F267" s="86"/>
      <c r="G267" s="86"/>
      <c r="H267" s="86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  <c r="AA267" s="177"/>
      <c r="AB267" s="177"/>
      <c r="AC267" s="77"/>
      <c r="AD267" s="77"/>
      <c r="AE267" s="77"/>
      <c r="AU267" s="6">
        <f>AC160*D167</f>
        <v>15.703517587939698</v>
      </c>
    </row>
    <row r="268" spans="1:47" ht="12.75">
      <c r="A268" s="77"/>
      <c r="B268" s="77"/>
      <c r="C268" s="77"/>
      <c r="D268" s="77"/>
      <c r="E268" s="77"/>
      <c r="F268" s="77"/>
      <c r="G268" s="77"/>
      <c r="H268" s="77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8"/>
      <c r="AB268" s="178"/>
      <c r="AC268" s="81"/>
      <c r="AD268" s="77"/>
      <c r="AE268" s="77"/>
      <c r="AU268" s="6">
        <f>SQRT(AC164+AC165+AC163)</f>
        <v>19925.12976048879</v>
      </c>
    </row>
    <row r="269" spans="1:47" ht="12.75">
      <c r="A269" s="77"/>
      <c r="B269" s="77"/>
      <c r="C269" s="77"/>
      <c r="D269" s="77"/>
      <c r="E269" s="87"/>
      <c r="F269" s="79"/>
      <c r="G269" s="79"/>
      <c r="H269" s="77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77"/>
      <c r="AD269" s="77"/>
      <c r="AE269" s="77"/>
      <c r="AU269" s="6">
        <f>ABS((AC161-D167)/AC167)</f>
        <v>0.730585355025709</v>
      </c>
    </row>
    <row r="270" spans="1:47" ht="12.75">
      <c r="A270" s="79"/>
      <c r="B270" s="77"/>
      <c r="C270" s="77"/>
      <c r="D270" s="77"/>
      <c r="E270" s="77"/>
      <c r="F270" s="77"/>
      <c r="G270" s="77"/>
      <c r="H270" s="77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77"/>
      <c r="AD270" s="77"/>
      <c r="AE270" s="77"/>
      <c r="AU270" s="6">
        <f>AC166/G151</f>
        <v>0.038698381304328344</v>
      </c>
    </row>
    <row r="271" spans="1:47" ht="12.75">
      <c r="A271" s="77"/>
      <c r="B271" s="79"/>
      <c r="C271" s="79"/>
      <c r="D271" s="80"/>
      <c r="E271" s="80"/>
      <c r="F271" s="80"/>
      <c r="G271" s="80"/>
      <c r="H271" s="80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  <c r="AA271" s="175"/>
      <c r="AB271" s="175"/>
      <c r="AC271" s="77"/>
      <c r="AD271" s="77"/>
      <c r="AE271" s="77"/>
      <c r="AU271" s="6">
        <f>AC166/C3</f>
        <v>255.4503815447281</v>
      </c>
    </row>
    <row r="272" spans="1:47" ht="12.75">
      <c r="A272" s="77"/>
      <c r="B272" s="77"/>
      <c r="C272" s="77"/>
      <c r="D272" s="80"/>
      <c r="E272" s="87"/>
      <c r="F272" s="80"/>
      <c r="G272" s="80"/>
      <c r="H272" s="80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77"/>
      <c r="AD272" s="77"/>
      <c r="AE272" s="77"/>
      <c r="AU272" s="6">
        <f>1/(1+(0.2316419*AD166))</f>
        <v>0.8552606631919818</v>
      </c>
    </row>
    <row r="273" spans="1:47" ht="12.75">
      <c r="A273" s="77"/>
      <c r="B273" s="79"/>
      <c r="C273" s="77"/>
      <c r="D273" s="80"/>
      <c r="E273" s="86"/>
      <c r="F273" s="86"/>
      <c r="G273" s="86"/>
      <c r="H273" s="86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  <c r="AA273" s="177"/>
      <c r="AB273" s="177"/>
      <c r="AC273" s="77"/>
      <c r="AD273" s="77"/>
      <c r="AE273" s="77"/>
      <c r="AU273" s="6">
        <f>0.398942281*EXP(AD166^2/-2)</f>
        <v>0.3054967886550069</v>
      </c>
    </row>
    <row r="274" spans="1:47" ht="12.75">
      <c r="A274" s="77"/>
      <c r="B274" s="79"/>
      <c r="C274" s="77"/>
      <c r="D274" s="80"/>
      <c r="E274" s="80"/>
      <c r="F274" s="80"/>
      <c r="G274" s="80"/>
      <c r="H274" s="80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  <c r="AA274" s="178"/>
      <c r="AB274" s="178"/>
      <c r="AC274" s="78"/>
      <c r="AD274" s="77"/>
      <c r="AE274" s="79"/>
      <c r="AU274" s="6">
        <f>ABS(AC161/AC167)</f>
        <v>5.623903550289908</v>
      </c>
    </row>
    <row r="275" spans="1:47" ht="12.75">
      <c r="A275" s="77"/>
      <c r="B275" s="77"/>
      <c r="C275" s="79"/>
      <c r="D275" s="77"/>
      <c r="E275" s="77"/>
      <c r="F275" s="77"/>
      <c r="G275" s="77"/>
      <c r="H275" s="77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7"/>
      <c r="AB275" s="177"/>
      <c r="AC275" s="78"/>
      <c r="AD275" s="77"/>
      <c r="AE275" s="79"/>
      <c r="AU275" s="6">
        <f>AD168*(0.31938153*AD167-0.356563782*AD167^2+1.781477937*AD167^3-1.821255978*AD167^4+1.330274429*AD167^5)</f>
        <v>0.23251615608290804</v>
      </c>
    </row>
    <row r="276" spans="1:47" ht="12.75">
      <c r="A276" s="77"/>
      <c r="B276" s="79"/>
      <c r="C276" s="79"/>
      <c r="D276" s="80"/>
      <c r="E276" s="80"/>
      <c r="F276" s="80"/>
      <c r="G276" s="80"/>
      <c r="H276" s="80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5"/>
      <c r="AB276" s="175"/>
      <c r="AC276" s="77"/>
      <c r="AD276" s="77"/>
      <c r="AE276" s="79"/>
      <c r="AU276" s="6">
        <f>1/(1+(0.2316419*AC169))</f>
        <v>0.4342668311498139</v>
      </c>
    </row>
    <row r="277" spans="1:47" ht="12.75">
      <c r="A277" s="77"/>
      <c r="B277" s="77"/>
      <c r="C277" s="77"/>
      <c r="D277" s="80"/>
      <c r="E277" s="80"/>
      <c r="F277" s="80"/>
      <c r="G277" s="80"/>
      <c r="H277" s="80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86"/>
      <c r="AD277" s="86"/>
      <c r="AE277" s="79"/>
      <c r="AU277" s="6">
        <f>0.398942281*EXP(AC169^2/-2)</f>
        <v>5.406471385433279E-08</v>
      </c>
    </row>
    <row r="278" spans="1:47" ht="12.75">
      <c r="A278" s="77"/>
      <c r="B278" s="77"/>
      <c r="C278" s="79"/>
      <c r="D278" s="80"/>
      <c r="E278" s="80"/>
      <c r="F278" s="80"/>
      <c r="G278" s="80"/>
      <c r="H278" s="80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86"/>
      <c r="AD278" s="86"/>
      <c r="AE278" s="86"/>
      <c r="AU278" s="6">
        <f>AC160*C174</f>
        <v>21.160994695862996</v>
      </c>
    </row>
    <row r="279" spans="1:47" ht="12.75">
      <c r="A279" s="77"/>
      <c r="B279" s="77"/>
      <c r="C279" s="79"/>
      <c r="D279" s="80"/>
      <c r="E279" s="80"/>
      <c r="F279" s="80"/>
      <c r="G279" s="80"/>
      <c r="H279" s="80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86"/>
      <c r="AD279" s="86"/>
      <c r="AE279" s="86"/>
      <c r="AU279" s="6">
        <f>AC161+0.97*AC167</f>
        <v>1684.4151777906943</v>
      </c>
    </row>
    <row r="280" spans="1:47" ht="12.75">
      <c r="A280" s="77"/>
      <c r="B280" s="77"/>
      <c r="C280" s="79"/>
      <c r="D280" s="80"/>
      <c r="E280" s="87"/>
      <c r="F280" s="80"/>
      <c r="G280" s="80"/>
      <c r="H280" s="80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77"/>
      <c r="AD280" s="86"/>
      <c r="AE280" s="86"/>
      <c r="AU280" s="6">
        <f>AC171*(0.31938153*AC170-0.356563782*AC170^2+1.781477937*AC170^3-1.821255978*AC170^4+1.330274429*AC170^5)</f>
        <v>9.359897620596097E-09</v>
      </c>
    </row>
    <row r="281" spans="1:47" ht="12.75">
      <c r="A281" s="77"/>
      <c r="B281" s="77"/>
      <c r="C281" s="77"/>
      <c r="D281" s="80"/>
      <c r="E281" s="80"/>
      <c r="F281" s="80"/>
      <c r="G281" s="80"/>
      <c r="H281" s="80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86"/>
      <c r="AD281" s="86"/>
      <c r="AE281" s="86"/>
      <c r="AU281" s="6">
        <f>AC160*C175</f>
        <v>19.4280398461877</v>
      </c>
    </row>
    <row r="282" spans="1:47" ht="12.75">
      <c r="A282" s="77"/>
      <c r="B282" s="77"/>
      <c r="C282" s="77"/>
      <c r="D282" s="80"/>
      <c r="E282" s="86"/>
      <c r="F282" s="86"/>
      <c r="G282" s="86"/>
      <c r="H282" s="86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  <c r="AA282" s="177"/>
      <c r="AB282" s="177"/>
      <c r="AC282" s="86"/>
      <c r="AD282" s="86"/>
      <c r="AE282" s="86"/>
      <c r="AU282" s="6">
        <f>AC161+0.43*AC167</f>
        <v>1546.471971756541</v>
      </c>
    </row>
    <row r="283" spans="1:47" ht="12.75">
      <c r="A283" s="77"/>
      <c r="B283" s="77"/>
      <c r="C283" s="77"/>
      <c r="D283" s="77"/>
      <c r="E283" s="77"/>
      <c r="F283" s="77"/>
      <c r="G283" s="77"/>
      <c r="H283" s="77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8"/>
      <c r="AB283" s="178"/>
      <c r="AC283" s="86"/>
      <c r="AD283" s="86"/>
      <c r="AE283" s="86"/>
      <c r="AU283" s="6">
        <f>AC160*C176</f>
        <v>18.048094317742564</v>
      </c>
    </row>
    <row r="284" spans="1:47" ht="12.75">
      <c r="A284" s="77"/>
      <c r="B284" s="77"/>
      <c r="C284" s="79"/>
      <c r="D284" s="80"/>
      <c r="E284" s="80"/>
      <c r="F284" s="80"/>
      <c r="G284" s="80"/>
      <c r="H284" s="80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  <c r="AA284" s="175"/>
      <c r="AB284" s="175"/>
      <c r="AC284" s="86"/>
      <c r="AD284" s="86"/>
      <c r="AE284" s="86"/>
      <c r="AU284" s="88">
        <f>AC161</f>
        <v>1436.628307692308</v>
      </c>
    </row>
    <row r="285" spans="1:47" ht="12.75">
      <c r="A285" s="77"/>
      <c r="B285" s="77"/>
      <c r="C285" s="77"/>
      <c r="D285" s="80"/>
      <c r="E285" s="80"/>
      <c r="F285" s="80"/>
      <c r="G285" s="80"/>
      <c r="H285" s="80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86"/>
      <c r="AD285" s="86"/>
      <c r="AE285" s="86"/>
      <c r="AU285" s="6">
        <f>AC160*C177</f>
        <v>16.668148789297426</v>
      </c>
    </row>
    <row r="286" spans="1:47" ht="12.75">
      <c r="A286" s="77"/>
      <c r="B286" s="77"/>
      <c r="C286" s="77"/>
      <c r="D286" s="80"/>
      <c r="E286" s="80"/>
      <c r="F286" s="80"/>
      <c r="G286" s="80"/>
      <c r="H286" s="80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86"/>
      <c r="AD286" s="86"/>
      <c r="AE286" s="77"/>
      <c r="AU286" s="6">
        <f>AC161-0.43*AC167</f>
        <v>1326.784643628075</v>
      </c>
    </row>
    <row r="287" spans="1:47" ht="12.75">
      <c r="A287" s="79"/>
      <c r="B287" s="77"/>
      <c r="C287" s="77"/>
      <c r="D287" s="77"/>
      <c r="E287" s="79"/>
      <c r="F287" s="78"/>
      <c r="G287" s="89"/>
      <c r="H287" s="78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  <c r="AA287" s="177"/>
      <c r="AB287" s="177"/>
      <c r="AC287" s="86"/>
      <c r="AD287" s="86"/>
      <c r="AE287" s="77"/>
      <c r="AU287" s="6">
        <f>AC160*C178</f>
        <v>14.935193939622133</v>
      </c>
    </row>
    <row r="288" spans="1:47" ht="12.75">
      <c r="A288" s="77"/>
      <c r="B288" s="77"/>
      <c r="C288" s="77"/>
      <c r="D288" s="77"/>
      <c r="E288" s="77"/>
      <c r="F288" s="77"/>
      <c r="G288" s="77"/>
      <c r="H288" s="77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4"/>
      <c r="AB288" s="174"/>
      <c r="AC288" s="86"/>
      <c r="AD288" s="86"/>
      <c r="AE288" s="86"/>
      <c r="AU288" s="6">
        <f>AC161-0.97*AC167</f>
        <v>1188.8414375939217</v>
      </c>
    </row>
    <row r="289" spans="1:47" ht="12.75">
      <c r="A289" s="79"/>
      <c r="B289" s="77"/>
      <c r="C289" s="77"/>
      <c r="D289" s="77"/>
      <c r="E289" s="80"/>
      <c r="F289" s="78"/>
      <c r="G289" s="80"/>
      <c r="H289" s="81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  <c r="AA289" s="175"/>
      <c r="AB289" s="175"/>
      <c r="AC289" s="86"/>
      <c r="AD289" s="86"/>
      <c r="AE289" s="86"/>
      <c r="AU289" s="6">
        <f>(PV(D181,D182,-(((G151-G152)/E38+D183)*F29*C11/100))-H181)/(F29*C11/100)*(E38/C5)</f>
        <v>28967.07871335346</v>
      </c>
    </row>
    <row r="290" spans="1:47" ht="12.75">
      <c r="A290" s="79"/>
      <c r="B290" s="77"/>
      <c r="C290" s="79"/>
      <c r="D290" s="77"/>
      <c r="E290" s="77"/>
      <c r="F290" s="78"/>
      <c r="G290" s="89"/>
      <c r="H290" s="86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8"/>
      <c r="AA290" s="179"/>
      <c r="AB290" s="179"/>
      <c r="AC290" s="86"/>
      <c r="AD290" s="86"/>
      <c r="AE290" s="86"/>
      <c r="AU290" s="6" t="str">
        <f>"  at "&amp;FIXED(D184,0,TRUE)&amp;"/kg"</f>
        <v>  at 25000/kg</v>
      </c>
    </row>
    <row r="291" spans="1:47" ht="12.75">
      <c r="A291" s="79"/>
      <c r="B291" s="77"/>
      <c r="C291" s="77"/>
      <c r="D291" s="79"/>
      <c r="E291" s="77"/>
      <c r="F291" s="78"/>
      <c r="G291" s="89"/>
      <c r="H291" s="86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X291" s="178"/>
      <c r="Y291" s="178"/>
      <c r="Z291" s="178"/>
      <c r="AA291" s="178"/>
      <c r="AB291" s="178"/>
      <c r="AC291" s="86"/>
      <c r="AD291" s="86"/>
      <c r="AE291" s="86"/>
      <c r="AU291" s="6">
        <f>(((C11*F29*((G154/E38)+D183))/100)-PMT(D181,D182,-(F29*C11*(D184/(E38/C5))/100+H181)))</f>
        <v>472.2548329483461</v>
      </c>
    </row>
    <row r="292" spans="1:47" ht="12.75">
      <c r="A292" s="79"/>
      <c r="B292" s="77"/>
      <c r="C292" s="79"/>
      <c r="D292" s="77"/>
      <c r="E292" s="77"/>
      <c r="F292" s="78"/>
      <c r="G292" s="89"/>
      <c r="H292" s="86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8"/>
      <c r="W292" s="178"/>
      <c r="X292" s="178"/>
      <c r="Y292" s="178"/>
      <c r="Z292" s="178"/>
      <c r="AA292" s="178"/>
      <c r="AB292" s="178"/>
      <c r="AC292" s="86"/>
      <c r="AD292" s="86"/>
      <c r="AE292" s="86"/>
      <c r="AU292" s="6">
        <f>-NPER(D181,(+E38/+C5)*((F154/C11)+D183),,D184+H181,0)</f>
        <v>8.246877711572111</v>
      </c>
    </row>
    <row r="293" spans="1:31" ht="12.75">
      <c r="A293" s="79"/>
      <c r="B293" s="77"/>
      <c r="C293" s="77"/>
      <c r="D293" s="79"/>
      <c r="E293" s="77"/>
      <c r="F293" s="78"/>
      <c r="G293" s="80"/>
      <c r="H293" s="86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8"/>
      <c r="W293" s="178"/>
      <c r="X293" s="178"/>
      <c r="Y293" s="178"/>
      <c r="Z293" s="178"/>
      <c r="AA293" s="178"/>
      <c r="AB293" s="178"/>
      <c r="AC293" s="86"/>
      <c r="AD293" s="86"/>
      <c r="AE293" s="86"/>
    </row>
    <row r="294" spans="1:31" ht="12.75">
      <c r="A294" s="79"/>
      <c r="B294" s="79"/>
      <c r="C294" s="78"/>
      <c r="D294" s="79"/>
      <c r="E294" s="77"/>
      <c r="F294" s="78"/>
      <c r="G294" s="80"/>
      <c r="H294" s="86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8"/>
      <c r="AA294" s="178"/>
      <c r="AB294" s="178"/>
      <c r="AC294" s="86"/>
      <c r="AD294" s="86"/>
      <c r="AE294" s="86"/>
    </row>
    <row r="295" spans="1:31" ht="12.75">
      <c r="A295" s="79"/>
      <c r="B295" s="79"/>
      <c r="C295" s="77"/>
      <c r="D295" s="79"/>
      <c r="E295" s="77"/>
      <c r="F295" s="78"/>
      <c r="G295" s="80"/>
      <c r="H295" s="86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178"/>
      <c r="AA295" s="178"/>
      <c r="AB295" s="178"/>
      <c r="AC295" s="86"/>
      <c r="AD295" s="86"/>
      <c r="AE295" s="77"/>
    </row>
    <row r="296" spans="1:31" ht="12.75">
      <c r="A296" s="79"/>
      <c r="B296" s="79"/>
      <c r="C296" s="78"/>
      <c r="D296" s="79"/>
      <c r="E296" s="77"/>
      <c r="F296" s="78"/>
      <c r="G296" s="80"/>
      <c r="H296" s="86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  <c r="AA296" s="178"/>
      <c r="AB296" s="178"/>
      <c r="AC296" s="86"/>
      <c r="AD296" s="86"/>
      <c r="AE296" s="77"/>
    </row>
    <row r="297" spans="1:31" ht="12.75">
      <c r="A297" s="79"/>
      <c r="B297" s="79"/>
      <c r="C297" s="78"/>
      <c r="D297" s="79"/>
      <c r="E297" s="77"/>
      <c r="F297" s="78"/>
      <c r="G297" s="80"/>
      <c r="H297" s="86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8"/>
      <c r="W297" s="178"/>
      <c r="X297" s="178"/>
      <c r="Y297" s="178"/>
      <c r="Z297" s="178"/>
      <c r="AA297" s="178"/>
      <c r="AB297" s="178"/>
      <c r="AC297" s="86"/>
      <c r="AD297" s="86"/>
      <c r="AE297" s="77"/>
    </row>
    <row r="298" spans="1:31" ht="12.75">
      <c r="A298" s="79"/>
      <c r="B298" s="79"/>
      <c r="C298" s="78"/>
      <c r="D298" s="78"/>
      <c r="E298" s="77"/>
      <c r="F298" s="78"/>
      <c r="G298" s="80"/>
      <c r="H298" s="86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  <c r="X298" s="178"/>
      <c r="Y298" s="178"/>
      <c r="Z298" s="178"/>
      <c r="AA298" s="178"/>
      <c r="AB298" s="178"/>
      <c r="AC298" s="86"/>
      <c r="AD298" s="86"/>
      <c r="AE298" s="77"/>
    </row>
    <row r="299" spans="1:31" ht="12.75">
      <c r="A299" s="79"/>
      <c r="B299" s="79"/>
      <c r="C299" s="78"/>
      <c r="D299" s="79"/>
      <c r="E299" s="77"/>
      <c r="F299" s="78"/>
      <c r="G299" s="80"/>
      <c r="H299" s="86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X299" s="178"/>
      <c r="Y299" s="178"/>
      <c r="Z299" s="178"/>
      <c r="AA299" s="178"/>
      <c r="AB299" s="178"/>
      <c r="AC299" s="86"/>
      <c r="AD299" s="86"/>
      <c r="AE299" s="77"/>
    </row>
    <row r="300" spans="1:31" ht="12.75">
      <c r="A300" s="77"/>
      <c r="B300" s="77"/>
      <c r="C300" s="78"/>
      <c r="D300" s="77"/>
      <c r="E300" s="77"/>
      <c r="F300" s="77"/>
      <c r="G300" s="77"/>
      <c r="H300" s="86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  <c r="AA300" s="178"/>
      <c r="AB300" s="178"/>
      <c r="AC300" s="86"/>
      <c r="AD300" s="86"/>
      <c r="AE300" s="77"/>
    </row>
    <row r="301" spans="1:31" ht="12.75">
      <c r="A301" s="79"/>
      <c r="B301" s="79"/>
      <c r="C301" s="78"/>
      <c r="D301" s="79"/>
      <c r="E301" s="77"/>
      <c r="F301" s="78"/>
      <c r="G301" s="80"/>
      <c r="H301" s="86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  <c r="Y301" s="178"/>
      <c r="Z301" s="178"/>
      <c r="AA301" s="178"/>
      <c r="AB301" s="178"/>
      <c r="AC301" s="77"/>
      <c r="AD301" s="77"/>
      <c r="AE301" s="77"/>
    </row>
    <row r="302" spans="1:31" ht="12.75">
      <c r="A302" s="77"/>
      <c r="B302" s="77"/>
      <c r="C302" s="78"/>
      <c r="D302" s="77"/>
      <c r="E302" s="77"/>
      <c r="F302" s="77"/>
      <c r="G302" s="77"/>
      <c r="H302" s="86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  <c r="AA302" s="178"/>
      <c r="AB302" s="178"/>
      <c r="AC302" s="86"/>
      <c r="AD302" s="77"/>
      <c r="AE302" s="77"/>
    </row>
    <row r="303" spans="1:31" ht="12.75">
      <c r="A303" s="79"/>
      <c r="B303" s="79"/>
      <c r="C303" s="77"/>
      <c r="D303" s="79"/>
      <c r="E303" s="79"/>
      <c r="F303" s="78"/>
      <c r="G303" s="80"/>
      <c r="H303" s="77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8"/>
      <c r="AB303" s="178"/>
      <c r="AC303" s="86"/>
      <c r="AD303" s="77"/>
      <c r="AE303" s="77"/>
    </row>
    <row r="304" spans="1:28" ht="12.75">
      <c r="A304" s="77"/>
      <c r="B304" s="77"/>
      <c r="C304" s="77"/>
      <c r="D304" s="77"/>
      <c r="E304" s="77"/>
      <c r="F304" s="77"/>
      <c r="G304" s="77"/>
      <c r="H304" s="77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</row>
    <row r="305" spans="1:28" ht="12.75">
      <c r="A305" s="79"/>
      <c r="B305" s="79"/>
      <c r="C305" s="77"/>
      <c r="D305" s="79"/>
      <c r="E305" s="79"/>
      <c r="F305" s="79"/>
      <c r="G305" s="79"/>
      <c r="H305" s="79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  <c r="Y305" s="176"/>
      <c r="Z305" s="176"/>
      <c r="AA305" s="175"/>
      <c r="AB305" s="175"/>
    </row>
    <row r="306" spans="27:28" ht="12.75">
      <c r="AA306" s="176"/>
      <c r="AB306" s="176"/>
    </row>
  </sheetData>
  <sheetProtection password="CC06" sheet="1" objects="1" scenarios="1" selectLockedCells="1"/>
  <dataValidations count="1">
    <dataValidation type="decimal" allowBlank="1" showInputMessage="1" showErrorMessage="1" promptTitle="High Quota Shippped" errorTitle="Quota &amp; Credits Shipped" error="Maximum % of Quota and Credits Shipped that can be entered is 100%&#10;" sqref="F31 D31 H31">
      <formula1>0</formula1>
      <formula2>100</formula2>
    </dataValidation>
  </dataValidations>
  <hyperlinks>
    <hyperlink ref="D195" r:id="rId1" display="ag.info.omafra@ontario.ca"/>
  </hyperlinks>
  <printOptions horizontalCentered="1"/>
  <pageMargins left="0.75" right="0.75" top="1" bottom="1" header="0.5" footer="0.5"/>
  <pageSetup horizontalDpi="600" verticalDpi="600" orientation="portrait" scale="76" r:id="rId5"/>
  <headerFooter alignWithMargins="0">
    <oddHeader xml:space="preserve">&amp;L                                                                        </oddHeader>
    <oddFooter>&amp;CPage -&amp;P-&amp;R</oddFooter>
  </headerFooter>
  <rowBreaks count="2" manualBreakCount="2">
    <brk id="72" max="7" man="1"/>
    <brk id="148" max="7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molenhuisjo</cp:lastModifiedBy>
  <cp:lastPrinted>2012-07-26T15:39:41Z</cp:lastPrinted>
  <dcterms:created xsi:type="dcterms:W3CDTF">2004-09-08T20:28:27Z</dcterms:created>
  <dcterms:modified xsi:type="dcterms:W3CDTF">2012-08-10T18:04:15Z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