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nglish\busdev\bear2000\Budgets\Fruit\TreeFruit\"/>
    </mc:Choice>
  </mc:AlternateContent>
  <bookViews>
    <workbookView xWindow="-15" yWindow="5970" windowWidth="19170" windowHeight="6030"/>
  </bookViews>
  <sheets>
    <sheet name="PEAR"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0">#REF!</definedName>
    <definedName name="\a">#REF!</definedName>
    <definedName name="\e">#REF!</definedName>
    <definedName name="\h">#REF!</definedName>
    <definedName name="\m">#REF!</definedName>
    <definedName name="\n">#REF!</definedName>
    <definedName name="\p">#REF!</definedName>
    <definedName name="\s">#REF!</definedName>
    <definedName name="\t">#REF!</definedName>
    <definedName name="\u">#REF!</definedName>
    <definedName name="\z">#REF!</definedName>
    <definedName name="_DUD7">#REF!</definedName>
    <definedName name="_ENT1">#REF!</definedName>
    <definedName name="_ENT2">#REF!</definedName>
    <definedName name="_ENT3">#REF!</definedName>
    <definedName name="_ENT4">#REF!</definedName>
    <definedName name="_ENT5">#REF!</definedName>
    <definedName name="_ENT6">#REF!</definedName>
    <definedName name="_ENT7">#REF!</definedName>
    <definedName name="_ENT8">#REF!</definedName>
    <definedName name="_HAY1">[1]Hay!$A$1:$K$159</definedName>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 name="_XB1">#REF!</definedName>
    <definedName name="_XB10">#REF!</definedName>
    <definedName name="_XB11">#REF!</definedName>
    <definedName name="_XB12">#REF!</definedName>
    <definedName name="_XB2">#REF!</definedName>
    <definedName name="_XB3">#REF!</definedName>
    <definedName name="_XB4">#REF!</definedName>
    <definedName name="_XB5">#REF!</definedName>
    <definedName name="_XB6">#REF!</definedName>
    <definedName name="_XB7">#REF!</definedName>
    <definedName name="_XB8">#REF!</definedName>
    <definedName name="_XB9">#REF!</definedName>
    <definedName name="_XBC1">#REF!</definedName>
    <definedName name="_XBC10">#REF!</definedName>
    <definedName name="_XBC11">#REF!</definedName>
    <definedName name="_XBC12">#REF!</definedName>
    <definedName name="_XBC2">#REF!</definedName>
    <definedName name="_XBC3">#REF!</definedName>
    <definedName name="_XBC4">#REF!</definedName>
    <definedName name="_XBC5">#REF!</definedName>
    <definedName name="_XBC6">#REF!</definedName>
    <definedName name="_XBC7">#REF!</definedName>
    <definedName name="_XBC8">#REF!</definedName>
    <definedName name="_XBC9">#REF!</definedName>
    <definedName name="ALLO">#REF!</definedName>
    <definedName name="ALLOAC">#REF!</definedName>
    <definedName name="ALLOAC2">#REF!</definedName>
    <definedName name="ALLOAC3">#REF!</definedName>
    <definedName name="ALLOAC4">#REF!</definedName>
    <definedName name="ALLOAC5">#REF!</definedName>
    <definedName name="ALLOAC6">#REF!</definedName>
    <definedName name="ALLOAC7">#REF!</definedName>
    <definedName name="ALLOAC8">#REF!</definedName>
    <definedName name="ALLOACEND">#REF!</definedName>
    <definedName name="ALLOALL">#REF!</definedName>
    <definedName name="ALLOENTER">#REF!</definedName>
    <definedName name="ALLOREC">#REF!</definedName>
    <definedName name="ALLOTOTAL">#REF!</definedName>
    <definedName name="ALTERNATE">#REF!</definedName>
    <definedName name="AMARK">#REF!</definedName>
    <definedName name="ANALNAME">#REF!</definedName>
    <definedName name="APPLE1">PEAR!$A$2:$K$160</definedName>
    <definedName name="ASSIGN">#REF!</definedName>
    <definedName name="BACK">#REF!</definedName>
    <definedName name="BARLEY1">#REF!</definedName>
    <definedName name="BEARDRV">#REF!</definedName>
    <definedName name="BRINGIN">#REF!</definedName>
    <definedName name="BRINGINALL">#REF!</definedName>
    <definedName name="CATTLE">#REF!</definedName>
    <definedName name="CHOICES">#REF!</definedName>
    <definedName name="COLE">#REF!</definedName>
    <definedName name="CORN1">[2]CORN!$A$1:$K$159</definedName>
    <definedName name="CORNER">#REF!</definedName>
    <definedName name="CORR">#REF!</definedName>
    <definedName name="COUNTER">#REF!</definedName>
    <definedName name="COUNTER2">#REF!</definedName>
    <definedName name="CRIT">#REF!</definedName>
    <definedName name="_xlnm.Criteria">PEAR!$AT$47:$AT$48</definedName>
    <definedName name="Criteria_MI">#REF!</definedName>
    <definedName name="CROPS">#REF!</definedName>
    <definedName name="_xlnm.Database">PEAR!$AP$32:$BB$32</definedName>
    <definedName name="Database_MI">#REF!</definedName>
    <definedName name="DCHECK">#REF!</definedName>
    <definedName name="DCNT">#REF!</definedName>
    <definedName name="DEFAULT">#REF!</definedName>
    <definedName name="DEPT1">#REF!</definedName>
    <definedName name="DGOAT1">[3]DGOAT!$A$1:$K$300</definedName>
    <definedName name="DHEIFER1">[4]DHEIFER!$A$1:$K$200</definedName>
    <definedName name="DRIVES">#REF!</definedName>
    <definedName name="E_1">#REF!</definedName>
    <definedName name="ECHECK">#REF!</definedName>
    <definedName name="ENTERPRISE">#REF!</definedName>
    <definedName name="ENTNAME">#REF!</definedName>
    <definedName name="ENTNO">#REF!</definedName>
    <definedName name="ENTS">#REF!</definedName>
    <definedName name="ERASE">#REF!</definedName>
    <definedName name="ERRMSG">#REF!</definedName>
    <definedName name="ESCROUTE">#REF!</definedName>
    <definedName name="EVERGREEN">[5]turkey!$AC$6630:$AE$6634</definedName>
    <definedName name="EXCLUDE">#REF!</definedName>
    <definedName name="EXPORT">#REF!</definedName>
    <definedName name="FARM">#REF!</definedName>
    <definedName name="FARMNAME">#REF!</definedName>
    <definedName name="FIELD">#REF!</definedName>
    <definedName name="FILE_EXT">#REF!</definedName>
    <definedName name="FILE_PATH">#REF!</definedName>
    <definedName name="FILEOPS">#REF!</definedName>
    <definedName name="FNAME">#REF!</definedName>
    <definedName name="FORAGE">#REF!</definedName>
    <definedName name="FORMAT">#REF!</definedName>
    <definedName name="FRUIT">#REF!</definedName>
    <definedName name="GAFFE10">#REF!</definedName>
    <definedName name="GAFFE2">#REF!</definedName>
    <definedName name="GAFFE3">#REF!</definedName>
    <definedName name="GAFFE4">#REF!</definedName>
    <definedName name="GAFFE5">#REF!</definedName>
    <definedName name="GAFFE6">#REF!</definedName>
    <definedName name="GAFFE7">#REF!</definedName>
    <definedName name="GAFFE8">#REF!</definedName>
    <definedName name="GAFFE9">#REF!</definedName>
    <definedName name="GFRUIT">#REF!</definedName>
    <definedName name="GOATS">#REF!</definedName>
    <definedName name="GRAIN">#REF!</definedName>
    <definedName name="GRAPES">[5]turkey!$AC$6593:$AG$6597</definedName>
    <definedName name="HELP">#REF!</definedName>
    <definedName name="HORT">#REF!</definedName>
    <definedName name="ID">#REF!</definedName>
    <definedName name="IFF">#REF!</definedName>
    <definedName name="INPUT">#REF!</definedName>
    <definedName name="JUNK">#REF!</definedName>
    <definedName name="KEY">#REF!</definedName>
    <definedName name="KEYLIST">#REF!</definedName>
    <definedName name="LASTCELL">#REF!</definedName>
    <definedName name="LAYER1">[6]LAYER!$A$1:$K$300</definedName>
    <definedName name="LCNT">#REF!</definedName>
    <definedName name="LCOUNT">#REF!</definedName>
    <definedName name="LINE">#REF!</definedName>
    <definedName name="LININ">#REF!</definedName>
    <definedName name="LIVESTOCK">#REF!</definedName>
    <definedName name="LOAN1">#REF!</definedName>
    <definedName name="LOGO">#REF!</definedName>
    <definedName name="MACROBLOCK">#REF!</definedName>
    <definedName name="MARKER1">#REF!</definedName>
    <definedName name="MENUBLOCK">#REF!</definedName>
    <definedName name="MESSAGE">#REF!</definedName>
    <definedName name="MGOAT1">#REF!</definedName>
    <definedName name="NAME">#REF!</definedName>
    <definedName name="NO">#REF!</definedName>
    <definedName name="NOREC">#REF!</definedName>
    <definedName name="NUMBER">#REF!</definedName>
    <definedName name="NUR">[5]turkey!$AC$6564:$AG$6571</definedName>
    <definedName name="OATS1">#REF!</definedName>
    <definedName name="OILS">#REF!</definedName>
    <definedName name="OTHER">#REF!</definedName>
    <definedName name="OTHERLVSTK">#REF!</definedName>
    <definedName name="OTHERVEG">#REF!</definedName>
    <definedName name="OTHRFRT">#REF!</definedName>
    <definedName name="P_ALLO">#REF!</definedName>
    <definedName name="P_DEP_N">#REF!</definedName>
    <definedName name="P_LOANS">#REF!</definedName>
    <definedName name="P_RANGE">#REF!</definedName>
    <definedName name="P_TRANS">#REF!</definedName>
    <definedName name="P_WFC">#REF!</definedName>
    <definedName name="P_WFS">#REF!</definedName>
    <definedName name="PASSWORD">#REF!</definedName>
    <definedName name="PASTUR1">[7]PASTUR!$A$1:$K$159</definedName>
    <definedName name="PCHECK">#REF!</definedName>
    <definedName name="PEABEAN">#REF!</definedName>
    <definedName name="PERCENT">#REF!</definedName>
    <definedName name="PIGS">#REF!</definedName>
    <definedName name="POULTRY">#REF!</definedName>
    <definedName name="PREPARE">#REF!</definedName>
    <definedName name="PREPDATE">#REF!</definedName>
    <definedName name="PRINT">#REF!</definedName>
    <definedName name="_xlnm.Print_Area" localSheetId="0">PEAR!$A$2:$H$175</definedName>
    <definedName name="_xlnm.Print_Area">PEAR!$B$420:$I$530</definedName>
    <definedName name="PRINT_AREA_MI">#REF!</definedName>
    <definedName name="PRINTALL">#REF!</definedName>
    <definedName name="PRINTENT">#REF!</definedName>
    <definedName name="PRINTMENU">#REF!</definedName>
    <definedName name="PRTCHOICE">#REF!</definedName>
    <definedName name="PULLET1">[8]PULLET!$A$1:$K$300</definedName>
    <definedName name="PULSES">#REF!</definedName>
    <definedName name="QCHOICE">#REF!</definedName>
    <definedName name="RECORD">#REF!</definedName>
    <definedName name="RET">#REF!</definedName>
    <definedName name="ROOT">#REF!</definedName>
    <definedName name="SAVE">#REF!</definedName>
    <definedName name="SAVE1">#REF!</definedName>
    <definedName name="SAVE2">#REF!</definedName>
    <definedName name="SCHOICE">#REF!</definedName>
    <definedName name="SELECT">#REF!</definedName>
    <definedName name="SELECTERR">#REF!</definedName>
    <definedName name="SELECTMSG">#REF!</definedName>
    <definedName name="SEND">#REF!</definedName>
    <definedName name="SEND2">#REF!</definedName>
    <definedName name="SHADE">[5]turkey!$AC$6636:$AD$6640</definedName>
    <definedName name="SHEEP">#REF!</definedName>
    <definedName name="SHRUB">[5]turkey!$AC$6642:$AD$6646</definedName>
    <definedName name="SILAGE1">[9]SILAGE!$A$1:$K$159</definedName>
    <definedName name="STYPE">#REF!</definedName>
    <definedName name="SUBR">#REF!</definedName>
    <definedName name="SWHEAT1">#REF!</definedName>
    <definedName name="TCOUNT">#REF!</definedName>
    <definedName name="TFRUIT">#REF!</definedName>
    <definedName name="TIMES">#REF!</definedName>
    <definedName name="TMARK">#REF!</definedName>
    <definedName name="TO_CELL">#REF!</definedName>
    <definedName name="TRANS">#REF!</definedName>
    <definedName name="TRANSF">#REF!</definedName>
    <definedName name="TREC">#REF!</definedName>
    <definedName name="TURKEY1">[5]turkey!$A$1:$K$300</definedName>
    <definedName name="UPDATE">#REF!</definedName>
    <definedName name="VEAL1">#REF!</definedName>
    <definedName name="VEG">#REF!</definedName>
    <definedName name="VINE">[7]PASTUR!$AC$7921</definedName>
    <definedName name="WFARMC">#REF!</definedName>
    <definedName name="WFARMS">#REF!</definedName>
    <definedName name="WMARK">#REF!</definedName>
    <definedName name="WORKDRV">#REF!</definedName>
    <definedName name="WORKNOS">#REF!</definedName>
    <definedName name="WORKNUMS">#REF!</definedName>
    <definedName name="WORKON">#REF!</definedName>
    <definedName name="WWHEAT1">[10]WWHEAT!$A$1:$K$159</definedName>
    <definedName name="XCHOICE">#REF!</definedName>
    <definedName name="XDATA">#REF!</definedName>
    <definedName name="XNAME">#REF!</definedName>
    <definedName name="XSAVE">#REF!</definedName>
    <definedName name="XSAVE1">#REF!</definedName>
    <definedName name="XSAVE2">#REF!</definedName>
    <definedName name="YES">#REF!</definedName>
  </definedNames>
  <calcPr calcId="152511"/>
</workbook>
</file>

<file path=xl/calcChain.xml><?xml version="1.0" encoding="utf-8"?>
<calcChain xmlns="http://schemas.openxmlformats.org/spreadsheetml/2006/main">
  <c r="F47" i="1" l="1"/>
  <c r="F59" i="1" l="1"/>
  <c r="AA95" i="1"/>
  <c r="G66" i="1" s="1"/>
  <c r="AA96" i="1" s="1"/>
  <c r="H66" i="1" s="1"/>
  <c r="F56" i="1"/>
  <c r="F55" i="1"/>
  <c r="F46" i="1"/>
  <c r="F45" i="1"/>
  <c r="E30" i="1"/>
  <c r="E31" i="1"/>
  <c r="G95" i="1" l="1"/>
  <c r="F58" i="1"/>
  <c r="F41" i="1"/>
  <c r="F40" i="1"/>
  <c r="F38" i="1"/>
  <c r="F37" i="1"/>
  <c r="F36" i="1"/>
  <c r="F33" i="1"/>
  <c r="F29" i="1"/>
  <c r="F28" i="1"/>
  <c r="F27" i="1"/>
  <c r="F26" i="1"/>
  <c r="F25" i="1"/>
  <c r="AA188" i="1" l="1"/>
  <c r="E124" i="1" s="1"/>
  <c r="AA190" i="1" s="1"/>
  <c r="H124" i="1" s="1"/>
  <c r="AA189" i="1" s="1"/>
  <c r="G124" i="1" s="1"/>
  <c r="AA182" i="1"/>
  <c r="E121" i="1" s="1"/>
  <c r="AA184" i="1" s="1"/>
  <c r="H121" i="1" s="1"/>
  <c r="AA183" i="1" s="1"/>
  <c r="G121" i="1" s="1"/>
  <c r="AA179" i="1"/>
  <c r="E120" i="1" s="1"/>
  <c r="AA181" i="1" s="1"/>
  <c r="H120" i="1" s="1"/>
  <c r="AA173" i="1"/>
  <c r="E114" i="1" s="1"/>
  <c r="AA158" i="1"/>
  <c r="E107" i="1" s="1"/>
  <c r="AA160" i="1" s="1"/>
  <c r="H107" i="1" s="1"/>
  <c r="AA159" i="1" s="1"/>
  <c r="G107" i="1" s="1"/>
  <c r="AA161" i="1"/>
  <c r="E108" i="1" s="1"/>
  <c r="AA163" i="1" s="1"/>
  <c r="H108" i="1" s="1"/>
  <c r="AA162" i="1" s="1"/>
  <c r="G108" i="1" s="1"/>
  <c r="AA164" i="1"/>
  <c r="E109" i="1" s="1"/>
  <c r="AA166" i="1" s="1"/>
  <c r="H109" i="1" s="1"/>
  <c r="AA165" i="1" s="1"/>
  <c r="G109" i="1" s="1"/>
  <c r="AA167" i="1"/>
  <c r="E110" i="1" s="1"/>
  <c r="AA169" i="1" s="1"/>
  <c r="H110" i="1" s="1"/>
  <c r="AA168" i="1" s="1"/>
  <c r="G110" i="1" s="1"/>
  <c r="AA170" i="1"/>
  <c r="E111" i="1" s="1"/>
  <c r="AA172" i="1" s="1"/>
  <c r="H111" i="1" s="1"/>
  <c r="AA171" i="1" s="1"/>
  <c r="G111" i="1" s="1"/>
  <c r="AA84" i="1"/>
  <c r="G56" i="1" s="1"/>
  <c r="AA85" i="1" s="1"/>
  <c r="H56" i="1" s="1"/>
  <c r="AA82" i="1"/>
  <c r="G55" i="1" s="1"/>
  <c r="AA83" i="1" s="1"/>
  <c r="H55" i="1" s="1"/>
  <c r="AA90" i="1"/>
  <c r="G59" i="1" s="1"/>
  <c r="AA91" i="1" s="1"/>
  <c r="H59" i="1" s="1"/>
  <c r="AA88" i="1"/>
  <c r="G58" i="1" s="1"/>
  <c r="AA89" i="1" s="1"/>
  <c r="H58" i="1" s="1"/>
  <c r="AA52" i="1"/>
  <c r="G36" i="1" s="1"/>
  <c r="AA53" i="1" s="1"/>
  <c r="H36" i="1" s="1"/>
  <c r="AA39" i="1"/>
  <c r="G30" i="1" s="1"/>
  <c r="AA40" i="1" s="1"/>
  <c r="H30" i="1" s="1"/>
  <c r="AA37" i="1"/>
  <c r="G29" i="1" s="1"/>
  <c r="AA38" i="1" s="1"/>
  <c r="H29" i="1" s="1"/>
  <c r="AA147" i="1"/>
  <c r="G123" i="1" s="1"/>
  <c r="AA148" i="1" s="1"/>
  <c r="H123" i="1" s="1"/>
  <c r="AA31" i="1"/>
  <c r="AA32" i="1"/>
  <c r="AA185" i="1"/>
  <c r="E122" i="1" s="1"/>
  <c r="AA187" i="1" s="1"/>
  <c r="H122" i="1" s="1"/>
  <c r="AA186" i="1" s="1"/>
  <c r="G122" i="1" s="1"/>
  <c r="AA17" i="1"/>
  <c r="G23" i="1" s="1"/>
  <c r="AA20" i="1"/>
  <c r="G24" i="1" s="1"/>
  <c r="AA21" i="1" s="1"/>
  <c r="H24" i="1" s="1"/>
  <c r="AA22" i="1"/>
  <c r="G25" i="1" s="1"/>
  <c r="AA23" i="1" s="1"/>
  <c r="H25" i="1" s="1"/>
  <c r="AA25" i="1"/>
  <c r="G26" i="1" s="1"/>
  <c r="AA26" i="1" s="1"/>
  <c r="H26" i="1" s="1"/>
  <c r="AA28" i="1"/>
  <c r="G27" i="1" s="1"/>
  <c r="AA29" i="1" s="1"/>
  <c r="H27" i="1" s="1"/>
  <c r="AA34" i="1"/>
  <c r="G28" i="1" s="1"/>
  <c r="AA35" i="1" s="1"/>
  <c r="H28" i="1" s="1"/>
  <c r="AA41" i="1"/>
  <c r="G31" i="1" s="1"/>
  <c r="AA42" i="1" s="1"/>
  <c r="H31" i="1" s="1"/>
  <c r="AA45" i="1"/>
  <c r="G33" i="1" s="1"/>
  <c r="AA46" i="1" s="1"/>
  <c r="H33" i="1" s="1"/>
  <c r="AA48" i="1"/>
  <c r="G34" i="1" s="1"/>
  <c r="AA49" i="1" s="1"/>
  <c r="H34" i="1" s="1"/>
  <c r="AA50" i="1"/>
  <c r="G35" i="1" s="1"/>
  <c r="AA51" i="1" s="1"/>
  <c r="H35" i="1" s="1"/>
  <c r="AA54" i="1"/>
  <c r="G37" i="1" s="1"/>
  <c r="AA55" i="1" s="1"/>
  <c r="H37" i="1" s="1"/>
  <c r="AA58" i="1"/>
  <c r="G38" i="1" s="1"/>
  <c r="AA59" i="1" s="1"/>
  <c r="H38" i="1" s="1"/>
  <c r="AA56" i="1"/>
  <c r="G39" i="1" s="1"/>
  <c r="AA57" i="1" s="1"/>
  <c r="H39" i="1" s="1"/>
  <c r="AA60" i="1"/>
  <c r="G40" i="1" s="1"/>
  <c r="AA61" i="1" s="1"/>
  <c r="H40" i="1" s="1"/>
  <c r="AA62" i="1"/>
  <c r="G41" i="1" s="1"/>
  <c r="AA63" i="1" s="1"/>
  <c r="H41" i="1" s="1"/>
  <c r="AA65" i="1"/>
  <c r="G42" i="1" s="1"/>
  <c r="AA66" i="1" s="1"/>
  <c r="H42" i="1" s="1"/>
  <c r="AA67" i="1"/>
  <c r="AA68" i="1"/>
  <c r="AA69" i="1"/>
  <c r="AA70" i="1"/>
  <c r="AA71" i="1"/>
  <c r="G43" i="1" s="1"/>
  <c r="AA72" i="1" s="1"/>
  <c r="H43" i="1" s="1"/>
  <c r="AA64" i="1"/>
  <c r="G45" i="1" s="1"/>
  <c r="AA73" i="1" s="1"/>
  <c r="H45" i="1" s="1"/>
  <c r="AA74" i="1"/>
  <c r="G46" i="1" s="1"/>
  <c r="AA75" i="1" s="1"/>
  <c r="H46" i="1" s="1"/>
  <c r="AA76" i="1"/>
  <c r="G47" i="1" s="1"/>
  <c r="AA77" i="1" s="1"/>
  <c r="H47" i="1" s="1"/>
  <c r="AA78" i="1"/>
  <c r="G48" i="1" s="1"/>
  <c r="AA79" i="1" s="1"/>
  <c r="H48" i="1" s="1"/>
  <c r="AA86" i="1"/>
  <c r="G57" i="1" s="1"/>
  <c r="AA87" i="1" s="1"/>
  <c r="H57" i="1" s="1"/>
  <c r="AA139" i="1"/>
  <c r="E95" i="1" s="1"/>
  <c r="AA210" i="1"/>
  <c r="I149" i="1" s="1"/>
  <c r="AA193" i="1"/>
  <c r="E132" i="1" s="1"/>
  <c r="AA194" i="1" s="1"/>
  <c r="F132" i="1" s="1"/>
  <c r="AA13" i="1" s="1"/>
  <c r="K18" i="1" s="1"/>
  <c r="AA140" i="1"/>
  <c r="AA100" i="1"/>
  <c r="G72" i="1" s="1"/>
  <c r="AA101" i="1" s="1"/>
  <c r="H72" i="1" s="1"/>
  <c r="AA102" i="1"/>
  <c r="G73" i="1" s="1"/>
  <c r="AA103" i="1" s="1"/>
  <c r="H73" i="1" s="1"/>
  <c r="AA104" i="1"/>
  <c r="G75" i="1" s="1"/>
  <c r="AA105" i="1" s="1"/>
  <c r="H75" i="1" s="1"/>
  <c r="AA106" i="1"/>
  <c r="G76" i="1" s="1"/>
  <c r="AA107" i="1" s="1"/>
  <c r="H76" i="1" s="1"/>
  <c r="AA108" i="1"/>
  <c r="G77" i="1" s="1"/>
  <c r="AA109" i="1" s="1"/>
  <c r="H77" i="1" s="1"/>
  <c r="AA110" i="1"/>
  <c r="AA111" i="1"/>
  <c r="AA112" i="1"/>
  <c r="AA113" i="1"/>
  <c r="AA114" i="1"/>
  <c r="AA115" i="1"/>
  <c r="G81" i="1" s="1"/>
  <c r="AA116" i="1" s="1"/>
  <c r="H81" i="1" s="1"/>
  <c r="AA117" i="1"/>
  <c r="G82" i="1" s="1"/>
  <c r="AA118" i="1" s="1"/>
  <c r="H82" i="1" s="1"/>
  <c r="AA119" i="1"/>
  <c r="AA120" i="1"/>
  <c r="G84" i="1" s="1"/>
  <c r="AA121" i="1" s="1"/>
  <c r="H84" i="1" s="1"/>
  <c r="AA122" i="1"/>
  <c r="G85" i="1" s="1"/>
  <c r="AA123" i="1" s="1"/>
  <c r="H85" i="1" s="1"/>
  <c r="AA124" i="1"/>
  <c r="AA125" i="1"/>
  <c r="G87" i="1" s="1"/>
  <c r="AA126" i="1" s="1"/>
  <c r="H87" i="1" s="1"/>
  <c r="AA127" i="1"/>
  <c r="G88" i="1" s="1"/>
  <c r="AA128" i="1" s="1"/>
  <c r="H88" i="1" s="1"/>
  <c r="AA129" i="1"/>
  <c r="AA130" i="1"/>
  <c r="AA131" i="1"/>
  <c r="AA132" i="1"/>
  <c r="AA133" i="1"/>
  <c r="G92" i="1" s="1"/>
  <c r="AA134" i="1" s="1"/>
  <c r="H92" i="1" s="1"/>
  <c r="AA135" i="1"/>
  <c r="G93" i="1" s="1"/>
  <c r="AA136" i="1" s="1"/>
  <c r="H93" i="1" s="1"/>
  <c r="AA137" i="1"/>
  <c r="G94" i="1" s="1"/>
  <c r="AA138" i="1" s="1"/>
  <c r="H94" i="1" s="1"/>
  <c r="AA143" i="1"/>
  <c r="G96" i="1" s="1"/>
  <c r="AA144" i="1" s="1"/>
  <c r="H96" i="1" s="1"/>
  <c r="AA145" i="1"/>
  <c r="G97" i="1" s="1"/>
  <c r="AA146" i="1" s="1"/>
  <c r="H97" i="1" s="1"/>
  <c r="AA149" i="1"/>
  <c r="AA150" i="1"/>
  <c r="G101" i="1" s="1"/>
  <c r="AA151" i="1" s="1"/>
  <c r="H101" i="1" s="1"/>
  <c r="AA152" i="1"/>
  <c r="G102" i="1" s="1"/>
  <c r="AA153" i="1" s="1"/>
  <c r="H102" i="1" s="1"/>
  <c r="AA154" i="1"/>
  <c r="G103" i="1" s="1"/>
  <c r="AA155" i="1" s="1"/>
  <c r="H103" i="1" s="1"/>
  <c r="AA156" i="1"/>
  <c r="G104" i="1" s="1"/>
  <c r="AA157" i="1"/>
  <c r="H104" i="1" s="1"/>
  <c r="AA6" i="1"/>
  <c r="D14" i="1" s="1"/>
  <c r="AA3" i="1"/>
  <c r="C9" i="1" s="1"/>
  <c r="AA4" i="1"/>
  <c r="E9" i="1" s="1"/>
  <c r="AA5" i="1"/>
  <c r="G9" i="1" s="1"/>
  <c r="AA15" i="1"/>
  <c r="K20" i="1" s="1"/>
  <c r="AA16" i="1"/>
  <c r="K21" i="1" s="1"/>
  <c r="AA19" i="1"/>
  <c r="K23" i="1"/>
  <c r="AA99" i="1"/>
  <c r="A127" i="1" s="1"/>
  <c r="AA93" i="1" l="1"/>
  <c r="H61" i="1" s="1"/>
  <c r="AA180" i="1"/>
  <c r="G120" i="1" s="1"/>
  <c r="AA209" i="1"/>
  <c r="I148" i="1" s="1"/>
  <c r="AA211" i="1" s="1"/>
  <c r="I150" i="1" s="1"/>
  <c r="AA141" i="1"/>
  <c r="AA142" i="1" s="1"/>
  <c r="H95" i="1" s="1"/>
  <c r="AA44" i="1" s="1"/>
  <c r="K34" i="1" s="1"/>
  <c r="AA47" i="1" s="1"/>
  <c r="K35" i="1" s="1"/>
  <c r="AA24" i="1"/>
  <c r="K25" i="1" s="1"/>
  <c r="AA43" i="1"/>
  <c r="K33" i="1" s="1"/>
  <c r="AA11" i="1" s="1"/>
  <c r="D17" i="1" s="1"/>
  <c r="AA33" i="1"/>
  <c r="K28" i="1" s="1"/>
  <c r="AA27" i="1"/>
  <c r="K26" i="1" s="1"/>
  <c r="AA36" i="1"/>
  <c r="K29" i="1" s="1"/>
  <c r="AA80" i="1"/>
  <c r="G50" i="1" s="1"/>
  <c r="AA92" i="1"/>
  <c r="G61" i="1" s="1"/>
  <c r="AA18" i="1"/>
  <c r="H23" i="1" s="1"/>
  <c r="AA81" i="1" s="1"/>
  <c r="H50" i="1" s="1"/>
  <c r="AA94" i="1" s="1"/>
  <c r="H63" i="1" s="1"/>
  <c r="AA178" i="1" l="1"/>
  <c r="J120" i="1" s="1"/>
  <c r="AA175" i="1" s="1"/>
  <c r="H114" i="1" s="1"/>
  <c r="AA174" i="1" s="1"/>
  <c r="G114" i="1" s="1"/>
  <c r="G63" i="1"/>
  <c r="AA98" i="1" s="1"/>
  <c r="H126" i="1" s="1"/>
  <c r="AA97" i="1" s="1"/>
  <c r="G126" i="1" s="1"/>
  <c r="AA9" i="1"/>
  <c r="D16" i="1" s="1"/>
  <c r="AA195" i="1" s="1"/>
  <c r="E133" i="1" s="1"/>
  <c r="AA196" i="1" s="1"/>
  <c r="F133" i="1" s="1"/>
  <c r="AA8" i="1" s="1"/>
  <c r="K15" i="1" s="1"/>
  <c r="AA7" i="1"/>
  <c r="D15" i="1" s="1"/>
  <c r="AA218" i="1"/>
  <c r="G157" i="1" s="1"/>
  <c r="H157" i="1" s="1"/>
  <c r="AA14" i="1"/>
  <c r="K19" i="1" s="1"/>
  <c r="AA192" i="1" l="1"/>
  <c r="H129" i="1" s="1"/>
  <c r="AA202" i="1" s="1"/>
  <c r="F137" i="1" s="1"/>
  <c r="AA201" i="1" s="1"/>
  <c r="E137" i="1" s="1"/>
  <c r="AA206" i="1" s="1"/>
  <c r="G142" i="1" s="1"/>
  <c r="AA177" i="1"/>
  <c r="H116" i="1" s="1"/>
  <c r="AA30" i="1" s="1"/>
  <c r="K27" i="1" s="1"/>
  <c r="AA191" i="1" l="1"/>
  <c r="G129" i="1" s="1"/>
  <c r="AA12" i="1"/>
  <c r="K17" i="1" s="1"/>
  <c r="AA176" i="1"/>
  <c r="G116" i="1" s="1"/>
  <c r="AA10" i="1"/>
  <c r="K16" i="1" s="1"/>
  <c r="AA198" i="1"/>
  <c r="F134" i="1" s="1"/>
  <c r="AA200" i="1" s="1"/>
  <c r="F136" i="1" s="1"/>
  <c r="AA197" i="1" l="1"/>
  <c r="E134" i="1" s="1"/>
  <c r="AA205" i="1" s="1"/>
  <c r="G141" i="1" s="1"/>
  <c r="AA207" i="1" s="1"/>
  <c r="G144" i="1" s="1"/>
  <c r="AA199" i="1"/>
  <c r="E136" i="1" s="1"/>
  <c r="AA203" i="1" s="1"/>
  <c r="E139" i="1" s="1"/>
  <c r="AA204" i="1"/>
  <c r="F139" i="1" s="1"/>
  <c r="AA2" i="1" l="1"/>
  <c r="H3" i="1" s="1"/>
  <c r="AA208" i="1"/>
  <c r="I147" i="1" s="1"/>
  <c r="AA213" i="1" l="1"/>
  <c r="I152" i="1" s="1"/>
  <c r="AA223" i="1"/>
  <c r="C162" i="1" s="1"/>
  <c r="AA225" i="1"/>
  <c r="C164" i="1" s="1"/>
  <c r="AA227" i="1"/>
  <c r="C166" i="1" s="1"/>
  <c r="AA224" i="1"/>
  <c r="C163" i="1" s="1"/>
  <c r="AA214" i="1"/>
  <c r="J152" i="1" s="1"/>
  <c r="AA226" i="1"/>
  <c r="C165" i="1" s="1"/>
  <c r="AA216" i="1" l="1"/>
  <c r="I153" i="1" s="1"/>
  <c r="AA219" i="1"/>
  <c r="I154" i="1" s="1"/>
  <c r="AA220" i="1"/>
  <c r="J154" i="1" s="1"/>
  <c r="AA217" i="1"/>
  <c r="J153" i="1" s="1"/>
  <c r="AA222" i="1" l="1"/>
  <c r="J155" i="1" s="1"/>
  <c r="AA215" i="1" s="1"/>
  <c r="G155" i="1" s="1"/>
  <c r="AA221" i="1"/>
  <c r="I155" i="1" s="1"/>
  <c r="AA212" i="1" s="1"/>
  <c r="G154" i="1" s="1"/>
</calcChain>
</file>

<file path=xl/comments1.xml><?xml version="1.0" encoding="utf-8"?>
<comments xmlns="http://schemas.openxmlformats.org/spreadsheetml/2006/main">
  <authors>
    <author>molenhuisjo</author>
    <author>Molenhuis, John (OMAFRA)</author>
  </authors>
  <commentList>
    <comment ref="C6" authorId="0" shapeId="0">
      <text>
        <r>
          <rPr>
            <b/>
            <sz val="8"/>
            <color indexed="81"/>
            <rFont val="Tahoma"/>
            <family val="2"/>
          </rPr>
          <t>The Optimistic estimate is best result you would reasonably expect to be seen at least 1 out of every 6 years</t>
        </r>
        <r>
          <rPr>
            <sz val="8"/>
            <color indexed="81"/>
            <rFont val="Tahoma"/>
            <family val="2"/>
          </rPr>
          <t xml:space="preserve">
</t>
        </r>
      </text>
    </comment>
    <comment ref="E6" authorId="0" shapeId="0">
      <text>
        <r>
          <rPr>
            <b/>
            <sz val="8"/>
            <color indexed="81"/>
            <rFont val="Tahoma"/>
            <family val="2"/>
          </rPr>
          <t>The Expected outcome is the most likely outcome you expect this year</t>
        </r>
        <r>
          <rPr>
            <sz val="8"/>
            <color indexed="81"/>
            <rFont val="Tahoma"/>
            <family val="2"/>
          </rPr>
          <t xml:space="preserve">
</t>
        </r>
      </text>
    </comment>
    <comment ref="G6" authorId="0" shapeId="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A66" authorId="1" shapeId="0">
      <text>
        <r>
          <rPr>
            <b/>
            <sz val="12"/>
            <color indexed="81"/>
            <rFont val="Tahoma"/>
            <family val="2"/>
          </rPr>
          <t xml:space="preserve">If Revenue minus Harvesting Costs in the Establishment years is greater than the Total Costs For Establishment, Establishment costs are recovered in the Establishment period and do not need to be amortized over the life of the orchard
</t>
        </r>
        <r>
          <rPr>
            <sz val="12"/>
            <color indexed="81"/>
            <rFont val="Tahoma"/>
            <family val="2"/>
          </rPr>
          <t xml:space="preserve">
</t>
        </r>
      </text>
    </comment>
    <comment ref="A126" authorId="1" shapeId="0">
      <text>
        <r>
          <rPr>
            <b/>
            <sz val="12"/>
            <color indexed="81"/>
            <rFont val="Tahoma"/>
            <family val="2"/>
          </rPr>
          <t xml:space="preserve">If Revenue minus Harvesting Costs in the Establishment years is greater than the Total Costs For Establishment, Establishment costs are recovered in the Establishment period and do not need to be amortized over the life of the orchard
</t>
        </r>
        <r>
          <rPr>
            <sz val="12"/>
            <color indexed="81"/>
            <rFont val="Tahoma"/>
            <family val="2"/>
          </rPr>
          <t xml:space="preserve">
</t>
        </r>
      </text>
    </comment>
    <comment ref="C157" authorId="0" shapeId="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<sst xmlns="http://schemas.openxmlformats.org/spreadsheetml/2006/main" count="301" uniqueCount="186">
  <si>
    <t>Apple 1</t>
  </si>
  <si>
    <t>Number of Acres =</t>
  </si>
  <si>
    <t>1 tonne =</t>
  </si>
  <si>
    <t xml:space="preserve">  Crop Insurance</t>
  </si>
  <si>
    <t xml:space="preserve">   C.I. Premium/ac:</t>
  </si>
  <si>
    <t>Expected Years of Harvest:</t>
  </si>
  <si>
    <t xml:space="preserve">   Level of Coverage</t>
  </si>
  <si>
    <t>Current Interest Rate:</t>
  </si>
  <si>
    <t xml:space="preserve">   Guaranteed Yield/ac.</t>
  </si>
  <si>
    <t>Current Inflation Rate:</t>
  </si>
  <si>
    <t xml:space="preserve">   Probability of a payout</t>
  </si>
  <si>
    <t xml:space="preserve">   Expected Payout/ac</t>
  </si>
  <si>
    <t xml:space="preserve"> Participate in CI? (y/n)</t>
  </si>
  <si>
    <t>Expenses</t>
  </si>
  <si>
    <t>Unit/Ac</t>
  </si>
  <si>
    <t>Number</t>
  </si>
  <si>
    <t>Cost/Unit</t>
  </si>
  <si>
    <t>$/Acre</t>
  </si>
  <si>
    <t>$/Year</t>
  </si>
  <si>
    <t>Allo!C3..J14</t>
  </si>
  <si>
    <t>no.</t>
  </si>
  <si>
    <t xml:space="preserve"> Cover Crop Seed</t>
  </si>
  <si>
    <t xml:space="preserve"> Replacement Trees</t>
  </si>
  <si>
    <t>hr.</t>
  </si>
  <si>
    <t>Grip prob factor (component of grip)</t>
  </si>
  <si>
    <t>N/A</t>
  </si>
  <si>
    <t>C.I. prob factor (component of Crop Insurance)</t>
  </si>
  <si>
    <t xml:space="preserve">  Fertilizers</t>
  </si>
  <si>
    <t xml:space="preserve">      1.</t>
  </si>
  <si>
    <t>kg or l</t>
  </si>
  <si>
    <t xml:space="preserve">      2.</t>
  </si>
  <si>
    <t xml:space="preserve">      3.</t>
  </si>
  <si>
    <t xml:space="preserve">  Fungicides</t>
  </si>
  <si>
    <t xml:space="preserve">  Herbicides</t>
  </si>
  <si>
    <t>$</t>
  </si>
  <si>
    <t xml:space="preserve">  Fuel</t>
  </si>
  <si>
    <t xml:space="preserve">  Equip. Repair &amp; Maint.</t>
  </si>
  <si>
    <t xml:space="preserve">  Interest on Oper. Cap.</t>
  </si>
  <si>
    <t xml:space="preserve">  General Variable Costs</t>
  </si>
  <si>
    <t xml:space="preserve">  ------</t>
  </si>
  <si>
    <t>Total Variable Costs for Establishment</t>
  </si>
  <si>
    <t>Fixed Costs:</t>
  </si>
  <si>
    <t>-------</t>
  </si>
  <si>
    <t xml:space="preserve"> -------</t>
  </si>
  <si>
    <t>--------</t>
  </si>
  <si>
    <t xml:space="preserve">  General Fixed Costs</t>
  </si>
  <si>
    <t>Total Fixed Costs for Establishment</t>
  </si>
  <si>
    <t>TOTAL COSTS FOR ESTABLISHMENT</t>
  </si>
  <si>
    <t>ANNUAL PRODUCTION COSTS:</t>
  </si>
  <si>
    <t>---</t>
  </si>
  <si>
    <t xml:space="preserve"> Fertilizers:</t>
  </si>
  <si>
    <t xml:space="preserve">  Fungicides:</t>
  </si>
  <si>
    <t xml:space="preserve">All Fungicides    </t>
  </si>
  <si>
    <t xml:space="preserve">  Herbicides:</t>
  </si>
  <si>
    <t xml:space="preserve">All Herbicides   </t>
  </si>
  <si>
    <t xml:space="preserve"> Other Expenses:</t>
  </si>
  <si>
    <t>Insurance</t>
  </si>
  <si>
    <t xml:space="preserve">  Custom Work, Rentals:</t>
  </si>
  <si>
    <t xml:space="preserve">      #1</t>
  </si>
  <si>
    <t xml:space="preserve">      #2</t>
  </si>
  <si>
    <t xml:space="preserve">  Other</t>
  </si>
  <si>
    <t xml:space="preserve"> </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</si>
  <si>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</si>
  <si>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</si>
  <si>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</si>
  <si>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</si>
  <si>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</si>
  <si>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</si>
  <si>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</si>
  <si>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</si>
  <si>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Wfarm!L4</t>
  </si>
  <si>
    <t>Wfarm!L5</t>
  </si>
  <si>
    <t xml:space="preserve"> Interest on</t>
  </si>
  <si>
    <t>%int</t>
  </si>
  <si>
    <t>%year</t>
  </si>
  <si>
    <t>Wfarm!L6</t>
  </si>
  <si>
    <t xml:space="preserve"> Operating Capital</t>
  </si>
  <si>
    <t>Wfarm!L7</t>
  </si>
  <si>
    <t>Wfarm!L8</t>
  </si>
  <si>
    <t>Total Variable Costs</t>
  </si>
  <si>
    <t>Wfarm!L9</t>
  </si>
  <si>
    <t xml:space="preserve"> General Fixed Costs</t>
  </si>
  <si>
    <t>Wfarm!K4</t>
  </si>
  <si>
    <t>Total Fixed Costs</t>
  </si>
  <si>
    <t>Wfarm!K5</t>
  </si>
  <si>
    <t>Wfarm!K6</t>
  </si>
  <si>
    <t>Revenues:</t>
  </si>
  <si>
    <t>Wfarm!K7</t>
  </si>
  <si>
    <t>Total Expected Revenues</t>
  </si>
  <si>
    <t xml:space="preserve">    add: Expected Insurance Revenues</t>
  </si>
  <si>
    <t xml:space="preserve">    less: Variable Costs</t>
  </si>
  <si>
    <t>Expected Operating Margin</t>
  </si>
  <si>
    <t xml:space="preserve">    less: Fixed Costs</t>
  </si>
  <si>
    <t>Expected Net Revenue</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</si>
  <si>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</si>
  <si>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</si>
  <si>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</si>
  <si>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</si>
  <si>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</si>
  <si>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</si>
  <si>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</si>
  <si>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</si>
  <si>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</si>
  <si>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</si>
  <si>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</si>
  <si>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</si>
  <si>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</si>
  <si>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</si>
  <si>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</si>
  <si>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</si>
  <si>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</si>
  <si>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</si>
  <si>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</si>
  <si>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</si>
  <si>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</si>
  <si>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</si>
  <si>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</si>
  <si>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 xml:space="preserve"> New Trees (including support)</t>
  </si>
  <si>
    <t>lb</t>
  </si>
  <si>
    <t xml:space="preserve">  Hand Labour</t>
  </si>
  <si>
    <t xml:space="preserve">  Machine Operator Labour</t>
  </si>
  <si>
    <t xml:space="preserve">  Custom Work</t>
  </si>
  <si>
    <t xml:space="preserve"> Crop Insurance</t>
  </si>
  <si>
    <t xml:space="preserve">  Interest on Investment - machinery</t>
  </si>
  <si>
    <t xml:space="preserve">  Depreciation - machinery</t>
  </si>
  <si>
    <t xml:space="preserve"> Hand Labour</t>
  </si>
  <si>
    <t xml:space="preserve"> Machine Operator Labour</t>
  </si>
  <si>
    <t>All Fertilizers</t>
  </si>
  <si>
    <t xml:space="preserve"> Interest on Investment - machinery</t>
  </si>
  <si>
    <t xml:space="preserve"> Depreciation - machinery</t>
  </si>
  <si>
    <t xml:space="preserve">  Land Costs</t>
  </si>
  <si>
    <t xml:space="preserve">The user of this worksheet assumes all responsibility. </t>
  </si>
  <si>
    <t>For more information:</t>
  </si>
  <si>
    <t>1-877-424-1300</t>
  </si>
  <si>
    <t xml:space="preserve">Risk Indicator - </t>
  </si>
  <si>
    <t>Coefficient of variation                 ==&gt;</t>
  </si>
  <si>
    <t>Low Risk</t>
  </si>
  <si>
    <t>Moderate Risk</t>
  </si>
  <si>
    <t>High Risk</t>
  </si>
  <si>
    <t>Return Per Acre:</t>
  </si>
  <si>
    <t xml:space="preserve"> Amortization - Establishment Costs: Direct Entry</t>
  </si>
  <si>
    <t>Optimistic</t>
  </si>
  <si>
    <t xml:space="preserve"> Expected</t>
  </si>
  <si>
    <t>Pessimistic</t>
  </si>
  <si>
    <t>$/Est. Period</t>
  </si>
  <si>
    <t>OMAFRA Agricultural Information Contact Centre</t>
  </si>
  <si>
    <t>ag.info.omafra@ontario.ca</t>
  </si>
  <si>
    <t>Establishment period (years):</t>
  </si>
  <si>
    <t>ESTABLISHMENT COSTS</t>
  </si>
  <si>
    <t xml:space="preserve">  Insecticides/Miticides</t>
  </si>
  <si>
    <t>Yield - tons</t>
  </si>
  <si>
    <t>Price - $/ton</t>
  </si>
  <si>
    <t>Ammonium Nitrate</t>
  </si>
  <si>
    <t>Production - tons</t>
  </si>
  <si>
    <t xml:space="preserve"> Irrigation </t>
  </si>
  <si>
    <t xml:space="preserve">  Soil test</t>
  </si>
  <si>
    <t xml:space="preserve">  Leaf analysis</t>
  </si>
  <si>
    <t xml:space="preserve"> Tile Drainage and Land Leveling</t>
  </si>
  <si>
    <t xml:space="preserve">  Cold Storage</t>
  </si>
  <si>
    <t>Plowing, planting</t>
  </si>
  <si>
    <t xml:space="preserve"> Consulting Fees </t>
  </si>
  <si>
    <t>kg</t>
  </si>
  <si>
    <t>Muriate of potash</t>
  </si>
  <si>
    <t xml:space="preserve">kg </t>
  </si>
  <si>
    <t xml:space="preserve">  Cover crop seed</t>
  </si>
  <si>
    <t xml:space="preserve">  Bird control</t>
  </si>
  <si>
    <t xml:space="preserve">  Consulting fees</t>
  </si>
  <si>
    <t xml:space="preserve">  Irrigation </t>
  </si>
  <si>
    <t>Packing</t>
  </si>
  <si>
    <t xml:space="preserve">         Break-even $/ton to cover:</t>
  </si>
  <si>
    <t xml:space="preserve"> Cold Storage</t>
  </si>
  <si>
    <t xml:space="preserve">      #3</t>
  </si>
  <si>
    <t xml:space="preserve"> Land rental</t>
  </si>
  <si>
    <t xml:space="preserve"> Land ownership</t>
  </si>
  <si>
    <t>Numbers in blue can be edited/changed for individual producers</t>
  </si>
  <si>
    <t xml:space="preserve">  Tree guards</t>
  </si>
  <si>
    <t>All Insecticides</t>
  </si>
  <si>
    <t xml:space="preserve">  Insecticides:</t>
  </si>
  <si>
    <t xml:space="preserve">  Miscellaneous (mulch, 1 bee hive, leaf)</t>
  </si>
  <si>
    <t>Ontario Ministry of Agriculture &amp; Food Website</t>
  </si>
  <si>
    <t>This is a cost of production budgeting tool that has 1 worksheet. There are fields that can be completed by the user. It is up to 21 columns wide and 252 rows.</t>
  </si>
  <si>
    <t xml:space="preserve">  Packing</t>
  </si>
  <si>
    <t xml:space="preserve">  Revised: Dec '16</t>
  </si>
  <si>
    <t xml:space="preserve">FRESH MARKET HIGH DENSITY PEAR </t>
  </si>
  <si>
    <t>REVENUE MINUS HARVESTING COSTS (ESTABLISHMENT YEARS)</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</si>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</sst>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quot;$&quot;#,##0.00\)"/>
    <numFmt numFmtId="165" formatCode=";;;"/>
    <numFmt numFmtId="166" formatCode="0.00_)"/>
    <numFmt numFmtId="167" formatCode="0.000_)"/>
    <numFmt numFmtId="168" formatCode="0_)"/>
    <numFmt numFmtId="169" formatCode="0.0_)"/>
    <numFmt numFmtId="170" formatCode="0.0%"/>
    <numFmt numFmtId="171" formatCode="&quot;$&quot;#,##0_);\(&quot;$&quot;#,##0\)"/>
  </numFmts>
  <fonts count="18" x14ac:knownFonts="1">
    <font>
      <sz val="10"/>
      <name val="Arial"/>
    </font>
    <font>
      <b/>
      <sz val="9"/>
      <color indexed="8"/>
      <name val="Arial"/>
      <family val="2"/>
    </font>
    <font>
      <sz val="9"/>
      <name val="Courier New"/>
      <family val="3"/>
    </font>
    <font>
      <sz val="8"/>
      <name val="Arial"/>
      <family val="2"/>
    </font>
    <font>
      <sz val="10"/>
      <name val="Courier"/>
      <family val="3"/>
    </font>
    <font>
      <u/>
      <sz val="10"/>
      <color indexed="12"/>
      <name val="Arial"/>
      <family val="2"/>
    </font>
    <font>
      <b/>
      <sz val="8"/>
      <color indexed="81"/>
      <name val="Tahoma"/>
      <family val="2"/>
    </font>
    <font>
      <sz val="8"/>
      <color indexed="81"/>
      <name val="Tahoma"/>
      <family val="2"/>
    </font>
    <font>
      <b/>
      <sz val="12"/>
      <color indexed="8"/>
      <name val="Arial"/>
      <family val="2"/>
    </font>
    <font>
      <b/>
      <sz val="12"/>
      <color indexed="12"/>
      <name val="Arial"/>
      <family val="2"/>
    </font>
    <font>
      <b/>
      <sz val="12"/>
      <color indexed="42"/>
      <name val="Arial"/>
      <family val="2"/>
    </font>
    <font>
      <b/>
      <sz val="12"/>
      <name val="Arial"/>
      <family val="2"/>
    </font>
    <font>
      <sz val="12"/>
      <name val="Courier"/>
      <family val="3"/>
    </font>
    <font>
      <u/>
      <sz val="12"/>
      <color indexed="12"/>
      <name val="Arial"/>
      <family val="2"/>
    </font>
    <font>
      <b/>
      <sz val="11"/>
      <name val="Arial"/>
      <family val="2"/>
    </font>
    <font>
      <sz val="10"/>
      <name val="Arial"/>
      <family val="2"/>
    </font>
    <font>
      <b/>
      <sz val="12"/>
      <color indexed="81"/>
      <name val="Tahoma"/>
      <family val="2"/>
    </font>
    <font>
      <sz val="12"/>
      <color indexed="81"/>
      <name val="Tahoma"/>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indexed="22"/>
        <bgColor indexed="42"/>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15" fillId="0" borderId="0"/>
  </cellStyleXfs>
  <cellXfs count="142">
    <xf numFmtId="0" fontId="0" fillId="0" borderId="0" xfId="0"/>
    <xf numFmtId="0" fontId="1" fillId="0" borderId="0" xfId="0" applyFont="1"/>
    <xf numFmtId="0" fontId="2" fillId="0" borderId="0" xfId="0" applyFont="1"/>
    <xf numFmtId="168" fontId="2" fillId="0" borderId="0" xfId="0" applyNumberFormat="1" applyFont="1"/>
    <xf numFmtId="168" fontId="1" fillId="0" borderId="0" xfId="0" applyNumberFormat="1"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Protection="1"/>
    <xf numFmtId="165" fontId="1" fillId="0" borderId="0" xfId="0" applyNumberFormat="1" applyFont="1" applyAlignment="1" applyProtection="1">
      <alignment horizontal="center"/>
    </xf>
    <xf numFmtId="168" fontId="1" fillId="0" borderId="0" xfId="0" applyNumberFormat="1" applyFont="1" applyAlignment="1">
      <alignment horizontal="center"/>
    </xf>
    <xf numFmtId="165" fontId="2" fillId="0" borderId="0" xfId="0" applyNumberFormat="1" applyFont="1"/>
    <xf numFmtId="165" fontId="1" fillId="0" borderId="0" xfId="0" applyNumberFormat="1" applyFont="1" applyProtection="1"/>
    <xf numFmtId="166" fontId="2" fillId="0" borderId="0" xfId="0" applyNumberFormat="1" applyFont="1"/>
    <xf numFmtId="165" fontId="1" fillId="0" borderId="0" xfId="0" applyNumberFormat="1" applyFont="1" applyBorder="1" applyProtection="1"/>
    <xf numFmtId="0" fontId="2" fillId="6" borderId="0" xfId="0" applyFont="1" applyFill="1" applyBorder="1" applyAlignment="1">
      <alignment horizontal="left"/>
    </xf>
    <xf numFmtId="0" fontId="1" fillId="4" borderId="0" xfId="0" applyFont="1" applyFill="1" applyBorder="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5" fontId="8" fillId="2" borderId="4" xfId="0" applyNumberFormat="1" applyFont="1" applyFill="1" applyBorder="1" applyProtection="1"/>
    <xf numFmtId="0" fontId="8" fillId="2" borderId="0" xfId="0" applyFont="1" applyFill="1" applyBorder="1"/>
    <xf numFmtId="165" fontId="8" fillId="2" borderId="0" xfId="0" applyNumberFormat="1" applyFont="1" applyFill="1" applyBorder="1" applyProtection="1"/>
    <xf numFmtId="0" fontId="8" fillId="2" borderId="0" xfId="0" applyFont="1" applyFill="1" applyBorder="1" applyAlignment="1" applyProtection="1">
      <alignment horizontal="left"/>
    </xf>
    <xf numFmtId="164" fontId="8" fillId="2" borderId="5" xfId="0" applyNumberFormat="1" applyFont="1" applyFill="1" applyBorder="1" applyAlignment="1" applyProtection="1">
      <alignment horizontal="center"/>
    </xf>
    <xf numFmtId="0" fontId="8" fillId="2" borderId="4" xfId="0" applyFont="1" applyFill="1" applyBorder="1"/>
    <xf numFmtId="0" fontId="9" fillId="3" borderId="8" xfId="0" applyFont="1" applyFill="1" applyBorder="1" applyAlignment="1" applyProtection="1">
      <alignment horizontal="center"/>
      <protection locked="0"/>
    </xf>
    <xf numFmtId="0" fontId="10" fillId="2" borderId="0" xfId="0" applyFont="1" applyFill="1" applyBorder="1" applyAlignment="1" applyProtection="1">
      <alignment horizontal="left"/>
    </xf>
    <xf numFmtId="0" fontId="10" fillId="2" borderId="0" xfId="0" applyFont="1" applyFill="1" applyBorder="1" applyProtection="1"/>
    <xf numFmtId="0" fontId="10" fillId="2" borderId="5" xfId="0" applyFont="1" applyFill="1" applyBorder="1" applyAlignment="1" applyProtection="1">
      <alignment horizontal="left"/>
    </xf>
    <xf numFmtId="0" fontId="9" fillId="6" borderId="13" xfId="2" applyFont="1" applyFill="1" applyBorder="1" applyAlignment="1" applyProtection="1">
      <alignment horizontal="left"/>
    </xf>
    <xf numFmtId="0" fontId="8" fillId="4" borderId="9" xfId="0" applyFont="1" applyFill="1" applyBorder="1" applyAlignment="1" applyProtection="1">
      <alignment horizontal="fill"/>
    </xf>
    <xf numFmtId="0" fontId="11" fillId="5" borderId="2" xfId="0" applyFont="1" applyFill="1" applyBorder="1" applyAlignment="1" applyProtection="1">
      <alignment horizontal="center"/>
    </xf>
    <xf numFmtId="0" fontId="8" fillId="2" borderId="0" xfId="3" applyFont="1" applyFill="1" applyBorder="1"/>
    <xf numFmtId="0" fontId="8" fillId="2" borderId="5" xfId="0" applyFont="1" applyFill="1" applyBorder="1"/>
    <xf numFmtId="0" fontId="8" fillId="2" borderId="4" xfId="4" applyFont="1" applyFill="1" applyBorder="1" applyAlignment="1" applyProtection="1">
      <alignment horizontal="left"/>
    </xf>
    <xf numFmtId="0" fontId="8" fillId="2" borderId="0" xfId="4" applyFont="1" applyFill="1" applyBorder="1"/>
    <xf numFmtId="169" fontId="9" fillId="3" borderId="6" xfId="4" applyNumberFormat="1"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8" fillId="2" borderId="4" xfId="0" applyFont="1" applyFill="1" applyBorder="1" applyAlignment="1" applyProtection="1">
      <alignment horizontal="left"/>
    </xf>
    <xf numFmtId="168" fontId="8" fillId="2" borderId="0" xfId="0" applyNumberFormat="1" applyFont="1" applyFill="1" applyBorder="1" applyAlignment="1" applyProtection="1">
      <alignment horizontal="center"/>
    </xf>
    <xf numFmtId="166" fontId="8" fillId="2" borderId="0" xfId="0" applyNumberFormat="1" applyFont="1" applyFill="1" applyBorder="1" applyProtection="1"/>
    <xf numFmtId="166" fontId="9" fillId="3" borderId="6" xfId="0" applyNumberFormat="1" applyFont="1" applyFill="1" applyBorder="1" applyAlignment="1" applyProtection="1">
      <alignment horizontal="center"/>
      <protection locked="0"/>
    </xf>
    <xf numFmtId="164" fontId="8" fillId="2" borderId="0" xfId="0" applyNumberFormat="1" applyFont="1" applyFill="1" applyBorder="1" applyProtection="1"/>
    <xf numFmtId="0" fontId="9" fillId="3" borderId="6" xfId="0" applyFont="1" applyFill="1" applyBorder="1" applyAlignment="1" applyProtection="1">
      <alignment horizontal="center"/>
      <protection locked="0"/>
    </xf>
    <xf numFmtId="9" fontId="9" fillId="3" borderId="6" xfId="0" applyNumberFormat="1" applyFont="1" applyFill="1" applyBorder="1" applyAlignment="1" applyProtection="1">
      <alignment horizontal="center"/>
      <protection locked="0"/>
    </xf>
    <xf numFmtId="170" fontId="8" fillId="2" borderId="0" xfId="0" applyNumberFormat="1" applyFont="1" applyFill="1" applyBorder="1" applyProtection="1"/>
    <xf numFmtId="10" fontId="9" fillId="3" borderId="6" xfId="0" applyNumberFormat="1" applyFont="1" applyFill="1" applyBorder="1" applyAlignment="1" applyProtection="1">
      <alignment horizontal="center"/>
      <protection locked="0"/>
    </xf>
    <xf numFmtId="166" fontId="8" fillId="2" borderId="0" xfId="0" applyNumberFormat="1" applyFont="1" applyFill="1" applyBorder="1" applyAlignment="1" applyProtection="1">
      <alignment horizontal="center"/>
    </xf>
    <xf numFmtId="10" fontId="8" fillId="2" borderId="0" xfId="0" applyNumberFormat="1" applyFont="1" applyFill="1" applyBorder="1" applyAlignment="1" applyProtection="1">
      <alignment horizontal="center"/>
    </xf>
    <xf numFmtId="168" fontId="8" fillId="2" borderId="5" xfId="0" applyNumberFormat="1" applyFont="1" applyFill="1" applyBorder="1" applyProtection="1"/>
    <xf numFmtId="164" fontId="8" fillId="2" borderId="0" xfId="0" applyNumberFormat="1" applyFont="1" applyFill="1" applyBorder="1" applyAlignment="1" applyProtection="1">
      <alignment horizontal="center"/>
    </xf>
    <xf numFmtId="1" fontId="9" fillId="7" borderId="6"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8" fontId="8" fillId="2" borderId="0" xfId="0" applyNumberFormat="1" applyFont="1" applyFill="1" applyBorder="1" applyProtection="1"/>
    <xf numFmtId="10" fontId="8" fillId="2" borderId="5" xfId="0" applyNumberFormat="1" applyFont="1" applyFill="1" applyBorder="1" applyProtection="1"/>
    <xf numFmtId="0" fontId="9" fillId="5" borderId="7" xfId="0" applyFont="1" applyFill="1" applyBorder="1" applyAlignment="1" applyProtection="1">
      <alignment horizontal="center"/>
      <protection locked="0"/>
    </xf>
    <xf numFmtId="166" fontId="8" fillId="2" borderId="5" xfId="0" applyNumberFormat="1"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1" fontId="8" fillId="2" borderId="4" xfId="0" applyNumberFormat="1" applyFont="1" applyFill="1" applyBorder="1" applyAlignment="1" applyProtection="1">
      <alignment horizontal="left"/>
    </xf>
    <xf numFmtId="0" fontId="8" fillId="2" borderId="0" xfId="0" applyFont="1" applyFill="1" applyBorder="1" applyAlignment="1" applyProtection="1">
      <alignment horizontal="fill"/>
    </xf>
    <xf numFmtId="2" fontId="8" fillId="2" borderId="5" xfId="0" applyNumberFormat="1" applyFont="1" applyFill="1" applyBorder="1" applyAlignment="1" applyProtection="1">
      <alignment horizontal="center"/>
    </xf>
    <xf numFmtId="1" fontId="8" fillId="2" borderId="0" xfId="0" applyNumberFormat="1" applyFont="1" applyFill="1" applyBorder="1"/>
    <xf numFmtId="0" fontId="9" fillId="5" borderId="5" xfId="0" applyFont="1" applyFill="1" applyBorder="1" applyAlignment="1" applyProtection="1">
      <alignment horizontal="left"/>
      <protection locked="0"/>
    </xf>
    <xf numFmtId="168" fontId="8" fillId="2" borderId="5" xfId="0" applyNumberFormat="1" applyFont="1" applyFill="1" applyBorder="1" applyAlignment="1" applyProtection="1">
      <alignment horizontal="center"/>
    </xf>
    <xf numFmtId="0" fontId="11" fillId="5" borderId="12" xfId="0" applyFont="1" applyFill="1" applyBorder="1" applyAlignment="1" applyProtection="1">
      <alignment horizontal="left"/>
      <protection locked="0"/>
    </xf>
    <xf numFmtId="10" fontId="8" fillId="2" borderId="0" xfId="0" applyNumberFormat="1" applyFont="1" applyFill="1" applyBorder="1" applyProtection="1"/>
    <xf numFmtId="0" fontId="9" fillId="5" borderId="7" xfId="0" applyFont="1" applyFill="1" applyBorder="1" applyAlignment="1" applyProtection="1">
      <alignment horizontal="left"/>
      <protection locked="0"/>
    </xf>
    <xf numFmtId="0" fontId="9" fillId="2" borderId="7" xfId="0" applyFont="1" applyFill="1" applyBorder="1" applyProtection="1">
      <protection locked="0"/>
    </xf>
    <xf numFmtId="167" fontId="9" fillId="3" borderId="6" xfId="0" applyNumberFormat="1" applyFont="1" applyFill="1" applyBorder="1" applyAlignment="1" applyProtection="1">
      <alignment horizontal="center"/>
      <protection locked="0"/>
    </xf>
    <xf numFmtId="0" fontId="9" fillId="5" borderId="9" xfId="0" applyFont="1" applyFill="1" applyBorder="1" applyAlignment="1" applyProtection="1">
      <alignment horizontal="left"/>
      <protection locked="0"/>
    </xf>
    <xf numFmtId="0" fontId="9" fillId="2" borderId="9" xfId="0" applyFont="1" applyFill="1" applyBorder="1" applyProtection="1">
      <protection locked="0"/>
    </xf>
    <xf numFmtId="0" fontId="11" fillId="5" borderId="4"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8" fillId="2" borderId="4" xfId="0" applyFont="1" applyFill="1" applyBorder="1" applyProtection="1"/>
    <xf numFmtId="0" fontId="8" fillId="2" borderId="5" xfId="0" applyFont="1" applyFill="1" applyBorder="1" applyAlignment="1" applyProtection="1">
      <alignment horizontal="right"/>
    </xf>
    <xf numFmtId="0" fontId="8" fillId="2" borderId="10" xfId="0" applyFont="1" applyFill="1" applyBorder="1" applyAlignment="1" applyProtection="1">
      <alignment horizontal="left"/>
    </xf>
    <xf numFmtId="0" fontId="8" fillId="2" borderId="7" xfId="0" applyFont="1" applyFill="1" applyBorder="1"/>
    <xf numFmtId="166" fontId="8" fillId="2" borderId="7" xfId="0" applyNumberFormat="1" applyFont="1" applyFill="1" applyBorder="1" applyProtection="1"/>
    <xf numFmtId="168" fontId="8" fillId="2" borderId="7" xfId="0" applyNumberFormat="1" applyFont="1" applyFill="1" applyBorder="1" applyAlignment="1" applyProtection="1">
      <alignment horizontal="center"/>
    </xf>
    <xf numFmtId="168" fontId="8" fillId="2" borderId="11"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5" xfId="0" applyFont="1" applyFill="1" applyBorder="1" applyAlignment="1" applyProtection="1">
      <alignment horizontal="fill"/>
    </xf>
    <xf numFmtId="0" fontId="9" fillId="2" borderId="7" xfId="0" applyFont="1" applyFill="1" applyBorder="1"/>
    <xf numFmtId="0" fontId="9" fillId="2" borderId="9" xfId="0" applyFont="1" applyFill="1" applyBorder="1"/>
    <xf numFmtId="0" fontId="9" fillId="5" borderId="11" xfId="0" applyFont="1" applyFill="1" applyBorder="1" applyAlignment="1" applyProtection="1">
      <alignment horizontal="left"/>
      <protection locked="0"/>
    </xf>
    <xf numFmtId="0" fontId="9" fillId="2" borderId="0" xfId="0" applyFont="1" applyFill="1" applyBorder="1"/>
    <xf numFmtId="168" fontId="9" fillId="2" borderId="9" xfId="0" applyNumberFormat="1" applyFont="1" applyFill="1" applyBorder="1" applyProtection="1"/>
    <xf numFmtId="165" fontId="8" fillId="2" borderId="5" xfId="0" applyNumberFormat="1" applyFont="1" applyFill="1" applyBorder="1" applyProtection="1"/>
    <xf numFmtId="0" fontId="10" fillId="2" borderId="0" xfId="0" applyFont="1" applyFill="1" applyBorder="1" applyAlignment="1" applyProtection="1">
      <alignment horizontal="center"/>
    </xf>
    <xf numFmtId="168" fontId="10" fillId="2" borderId="0" xfId="0" applyNumberFormat="1" applyFont="1" applyFill="1" applyBorder="1" applyAlignment="1" applyProtection="1">
      <alignment horizontal="center"/>
    </xf>
    <xf numFmtId="0" fontId="10" fillId="2" borderId="0" xfId="0" applyFont="1" applyFill="1" applyBorder="1"/>
    <xf numFmtId="166" fontId="10" fillId="2" borderId="0" xfId="0" applyNumberFormat="1" applyFont="1" applyFill="1" applyBorder="1" applyProtection="1"/>
    <xf numFmtId="166" fontId="9" fillId="5" borderId="0" xfId="0" applyNumberFormat="1"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8" fillId="2" borderId="5" xfId="0" applyFont="1" applyFill="1" applyBorder="1" applyAlignment="1" applyProtection="1">
      <alignment horizontal="left"/>
    </xf>
    <xf numFmtId="37" fontId="8" fillId="2" borderId="0" xfId="0" applyNumberFormat="1" applyFont="1" applyFill="1" applyBorder="1" applyProtection="1"/>
    <xf numFmtId="37" fontId="8" fillId="2" borderId="5" xfId="0" applyNumberFormat="1" applyFont="1" applyFill="1" applyBorder="1" applyProtection="1"/>
    <xf numFmtId="9" fontId="8" fillId="2" borderId="0" xfId="0" applyNumberFormat="1" applyFont="1" applyFill="1" applyBorder="1" applyProtection="1"/>
    <xf numFmtId="0" fontId="8" fillId="2" borderId="10" xfId="0" applyFont="1" applyFill="1" applyBorder="1"/>
    <xf numFmtId="9" fontId="8" fillId="2" borderId="0"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11" fillId="5" borderId="0" xfId="0" applyFont="1" applyFill="1" applyBorder="1" applyAlignment="1" applyProtection="1"/>
    <xf numFmtId="0" fontId="11" fillId="5" borderId="0" xfId="0" applyFont="1" applyFill="1" applyBorder="1" applyAlignment="1" applyProtection="1">
      <alignment horizontal="right"/>
    </xf>
    <xf numFmtId="0" fontId="11" fillId="5" borderId="0" xfId="0" applyFont="1" applyFill="1" applyBorder="1" applyAlignment="1" applyProtection="1">
      <alignment horizontal="left"/>
    </xf>
    <xf numFmtId="166" fontId="11" fillId="5" borderId="5" xfId="0" applyNumberFormat="1" applyFont="1" applyFill="1" applyBorder="1" applyAlignment="1" applyProtection="1">
      <alignment horizontal="center"/>
    </xf>
    <xf numFmtId="165" fontId="8" fillId="2" borderId="5" xfId="0" applyNumberFormat="1" applyFont="1" applyFill="1" applyBorder="1" applyAlignment="1" applyProtection="1">
      <alignment horizontal="left"/>
    </xf>
    <xf numFmtId="0" fontId="8" fillId="2" borderId="0" xfId="0"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4" xfId="0" applyFont="1" applyFill="1" applyBorder="1" applyAlignment="1" applyProtection="1">
      <alignment horizontal="center"/>
    </xf>
    <xf numFmtId="0" fontId="8" fillId="4" borderId="10" xfId="0" applyFont="1" applyFill="1" applyBorder="1"/>
    <xf numFmtId="0" fontId="8" fillId="4" borderId="7" xfId="0" applyFont="1" applyFill="1" applyBorder="1"/>
    <xf numFmtId="9" fontId="8" fillId="4" borderId="7" xfId="0" applyNumberFormat="1" applyFont="1" applyFill="1" applyBorder="1" applyProtection="1"/>
    <xf numFmtId="168" fontId="8" fillId="4" borderId="7" xfId="0" applyNumberFormat="1" applyFont="1" applyFill="1" applyBorder="1" applyProtection="1"/>
    <xf numFmtId="168" fontId="8" fillId="4" borderId="11" xfId="0" applyNumberFormat="1" applyFont="1" applyFill="1" applyBorder="1" applyProtection="1"/>
    <xf numFmtId="0" fontId="14" fillId="0" borderId="0" xfId="0" applyFont="1"/>
    <xf numFmtId="0" fontId="13" fillId="4" borderId="7" xfId="1" applyFont="1" applyFill="1" applyBorder="1" applyAlignment="1" applyProtection="1">
      <alignment horizontal="center"/>
    </xf>
    <xf numFmtId="0" fontId="11" fillId="0" borderId="0" xfId="5" applyFont="1"/>
    <xf numFmtId="171" fontId="8" fillId="2" borderId="0" xfId="0" applyNumberFormat="1" applyFont="1" applyFill="1" applyBorder="1" applyAlignment="1" applyProtection="1">
      <alignment horizontal="center"/>
    </xf>
    <xf numFmtId="0" fontId="8" fillId="2" borderId="0" xfId="6" applyFont="1" applyFill="1" applyBorder="1"/>
    <xf numFmtId="0" fontId="8" fillId="2" borderId="4" xfId="6" applyFont="1" applyFill="1" applyBorder="1" applyAlignment="1" applyProtection="1">
      <alignment horizontal="left"/>
    </xf>
    <xf numFmtId="168" fontId="8" fillId="2" borderId="0" xfId="6" applyNumberFormat="1" applyFont="1" applyFill="1" applyBorder="1" applyAlignment="1" applyProtection="1">
      <alignment horizontal="center"/>
    </xf>
    <xf numFmtId="0" fontId="9" fillId="3" borderId="6" xfId="6" applyFont="1" applyFill="1" applyBorder="1" applyAlignment="1" applyProtection="1">
      <alignment horizontal="center"/>
      <protection locked="0"/>
    </xf>
    <xf numFmtId="0" fontId="8" fillId="2" borderId="0" xfId="6" applyFont="1" applyFill="1" applyBorder="1" applyAlignment="1" applyProtection="1">
      <alignment horizontal="center"/>
    </xf>
    <xf numFmtId="0" fontId="8" fillId="2" borderId="5" xfId="6" applyFont="1" applyFill="1" applyBorder="1" applyAlignment="1" applyProtection="1">
      <alignment horizontal="center"/>
    </xf>
    <xf numFmtId="168" fontId="8" fillId="2" borderId="5" xfId="6" applyNumberFormat="1" applyFont="1" applyFill="1" applyBorder="1" applyAlignment="1" applyProtection="1">
      <alignment horizontal="center"/>
    </xf>
    <xf numFmtId="0" fontId="8" fillId="2" borderId="10" xfId="6" applyFont="1" applyFill="1" applyBorder="1" applyAlignment="1" applyProtection="1">
      <alignment horizontal="left"/>
    </xf>
    <xf numFmtId="0" fontId="8" fillId="2" borderId="7" xfId="6" applyFont="1" applyFill="1" applyBorder="1"/>
    <xf numFmtId="168" fontId="8" fillId="2" borderId="7" xfId="6" applyNumberFormat="1" applyFont="1" applyFill="1" applyBorder="1" applyAlignment="1" applyProtection="1">
      <alignment horizontal="center"/>
    </xf>
    <xf numFmtId="168" fontId="8" fillId="2" borderId="11" xfId="6" applyNumberFormat="1" applyFont="1" applyFill="1" applyBorder="1" applyAlignment="1" applyProtection="1">
      <alignment horizontal="center"/>
    </xf>
  </cellXfs>
  <cellStyles count="7">
    <cellStyle name="Hyperlink" xfId="1" builtinId="8"/>
    <cellStyle name="Normal" xfId="0" builtinId="0"/>
    <cellStyle name="Normal 2" xfId="6"/>
    <cellStyle name="Normal_APPLE" xfId="2"/>
    <cellStyle name="Normal_Corn2" xfId="3"/>
    <cellStyle name="Normal_FrPeach" xfId="4"/>
    <cellStyle name="Normal_Raspc2" xfId="5"/>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152400</xdr:colOff>
      <xdr:row>2</xdr:row>
      <xdr:rowOff>190500</xdr:rowOff>
    </xdr:to>
    <xdr:pic>
      <xdr:nvPicPr>
        <xdr:cNvPr id="1043" name="Picture 19" descr="NEW Ont Trillium logo blk20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563" t="16454" b="19196"/>
        <a:stretch>
          <a:fillRect/>
        </a:stretch>
      </xdr:blipFill>
      <xdr:spPr bwMode="auto">
        <a:xfrm>
          <a:off x="19050" y="19050"/>
          <a:ext cx="11811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mafra.gov.on.ca/Data/WebBudgets/serverfilesSep4/webs/iis/test/BudgetFiles/Fruit/TreeFruit/Boo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mafra.gov.on.ca/WINDOWS/Desktop/Program%20Files/Bear2000/Budget%20Files/Crops/Grains/Corn.bp"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9"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6"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mafra.gov.on.ca/WINDOWS/Desktop/Program%20Files/Bear2000/Budget%20Files/Livestock/Poultry/turkey.bp"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ook12"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mafra.gov.on.ca/WINDOWS/Desktop/Program%20Files/Bear2000/Budget%20Files/Crops/Forages/Silage.b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y"/>
    </sheetNames>
    <sheetDataSet>
      <sheetData sheetId="0" refreshError="1">
        <row r="1">
          <cell r="A1" t="str">
            <v>Hay 1</v>
          </cell>
          <cell r="C1" t="str">
            <v>ALFALFA HAY ENTERPRISE BUDGET</v>
          </cell>
          <cell r="G1" t="str">
            <v>Revised: May '98</v>
          </cell>
        </row>
        <row r="2">
          <cell r="A2">
            <v>702</v>
          </cell>
          <cell r="F2" t="str">
            <v>Profit Per Acre</v>
          </cell>
          <cell r="H2">
            <v>71.71625808930952</v>
          </cell>
        </row>
        <row r="3">
          <cell r="B3" t="str">
            <v>Number of Acres =</v>
          </cell>
          <cell r="D3">
            <v>1</v>
          </cell>
        </row>
        <row r="4">
          <cell r="A4" t="str">
            <v>=</v>
          </cell>
          <cell r="B4" t="str">
            <v>=</v>
          </cell>
          <cell r="C4" t="str">
            <v>=</v>
          </cell>
          <cell r="D4" t="str">
            <v>=</v>
          </cell>
          <cell r="E4" t="str">
            <v>=</v>
          </cell>
          <cell r="F4" t="str">
            <v>=</v>
          </cell>
          <cell r="G4" t="str">
            <v>=</v>
          </cell>
          <cell r="H4" t="str">
            <v>=</v>
          </cell>
        </row>
        <row r="5">
          <cell r="C5" t="str">
            <v xml:space="preserve">  Optimistic</v>
          </cell>
          <cell r="E5" t="str">
            <v xml:space="preserve">  Expected</v>
          </cell>
          <cell r="G5" t="str">
            <v xml:space="preserve"> Pessimistic</v>
          </cell>
        </row>
        <row r="6">
          <cell r="A6" t="str">
            <v>Yield - tonne/acre</v>
          </cell>
          <cell r="C6">
            <v>3.4</v>
          </cell>
          <cell r="E6">
            <v>3.1</v>
          </cell>
          <cell r="G6">
            <v>2.9</v>
          </cell>
        </row>
        <row r="7">
          <cell r="A7" t="str">
            <v>Price - $/tonne</v>
          </cell>
          <cell r="C7">
            <v>91.53</v>
          </cell>
          <cell r="E7">
            <v>75.5</v>
          </cell>
          <cell r="G7">
            <v>66.25</v>
          </cell>
        </row>
        <row r="8">
          <cell r="A8" t="str">
            <v>Production - tonne</v>
          </cell>
          <cell r="C8">
            <v>3.4</v>
          </cell>
          <cell r="E8">
            <v>3.1</v>
          </cell>
          <cell r="G8">
            <v>2.9</v>
          </cell>
        </row>
        <row r="9">
          <cell r="A9" t="str">
            <v>=</v>
          </cell>
          <cell r="B9" t="str">
            <v>=</v>
          </cell>
          <cell r="C9" t="str">
            <v>=</v>
          </cell>
          <cell r="D9" t="str">
            <v>=</v>
          </cell>
          <cell r="E9" t="str">
            <v>=</v>
          </cell>
          <cell r="F9" t="str">
            <v>=</v>
          </cell>
          <cell r="G9" t="str">
            <v>=</v>
          </cell>
          <cell r="H9" t="str">
            <v>=</v>
          </cell>
        </row>
        <row r="10">
          <cell r="A10" t="str">
            <v xml:space="preserve">  Crop Insurance</v>
          </cell>
        </row>
        <row r="11">
          <cell r="A11" t="str">
            <v xml:space="preserve">   C.I. Premium/ac:</v>
          </cell>
          <cell r="D11">
            <v>5</v>
          </cell>
        </row>
        <row r="12">
          <cell r="A12" t="str">
            <v xml:space="preserve">   Level of Coverage</v>
          </cell>
          <cell r="D12">
            <v>0.85</v>
          </cell>
        </row>
        <row r="13">
          <cell r="A13" t="str">
            <v xml:space="preserve">   Guaranteed Yield/ac.</v>
          </cell>
          <cell r="D13">
            <v>2.6349999999999998</v>
          </cell>
          <cell r="K13">
            <v>0</v>
          </cell>
        </row>
        <row r="14">
          <cell r="A14" t="str">
            <v xml:space="preserve">   Probability of a payout</v>
          </cell>
          <cell r="D14">
            <v>0</v>
          </cell>
          <cell r="K14">
            <v>0</v>
          </cell>
        </row>
        <row r="15">
          <cell r="A15" t="str">
            <v xml:space="preserve">   Expected Payout/ac</v>
          </cell>
          <cell r="D15">
            <v>0</v>
          </cell>
          <cell r="K15">
            <v>117.56492436835555</v>
          </cell>
        </row>
        <row r="16">
          <cell r="D16">
            <v>0</v>
          </cell>
          <cell r="K16">
            <v>45</v>
          </cell>
        </row>
        <row r="17">
          <cell r="A17" t="str">
            <v xml:space="preserve"> Participate in CI? (y/n)</v>
          </cell>
          <cell r="D17" t="str">
            <v>y</v>
          </cell>
          <cell r="K17">
            <v>234.05</v>
          </cell>
        </row>
        <row r="18">
          <cell r="A18" t="str">
            <v>=</v>
          </cell>
          <cell r="B18" t="str">
            <v>=</v>
          </cell>
          <cell r="C18" t="str">
            <v>=</v>
          </cell>
          <cell r="D18" t="str">
            <v>=</v>
          </cell>
          <cell r="E18" t="str">
            <v>=</v>
          </cell>
          <cell r="F18" t="str">
            <v>=</v>
          </cell>
          <cell r="G18" t="str">
            <v>=</v>
          </cell>
          <cell r="H18" t="str">
            <v>=</v>
          </cell>
          <cell r="K18">
            <v>60.229503041410901</v>
          </cell>
        </row>
        <row r="19">
          <cell r="D19" t="str">
            <v>Unit/Ac</v>
          </cell>
          <cell r="E19" t="str">
            <v>Number</v>
          </cell>
          <cell r="F19" t="str">
            <v>Cost/Unit</v>
          </cell>
          <cell r="G19" t="str">
            <v>$/Acre</v>
          </cell>
          <cell r="H19" t="str">
            <v>$/Year</v>
          </cell>
          <cell r="K19">
            <v>3.1</v>
          </cell>
        </row>
        <row r="20">
          <cell r="A20" t="str">
            <v>Expenses</v>
          </cell>
          <cell r="D20" t="str">
            <v>-------</v>
          </cell>
          <cell r="E20" t="str">
            <v xml:space="preserve">  ------</v>
          </cell>
          <cell r="F20" t="str">
            <v>-</v>
          </cell>
          <cell r="G20" t="str">
            <v xml:space="preserve">  ------</v>
          </cell>
          <cell r="H20" t="str">
            <v xml:space="preserve">  -------</v>
          </cell>
          <cell r="K20">
            <v>75.5</v>
          </cell>
        </row>
        <row r="21">
          <cell r="A21" t="str">
            <v>Variable Costs:</v>
          </cell>
          <cell r="K21" t="str">
            <v>Allo!C3..J14</v>
          </cell>
        </row>
        <row r="22">
          <cell r="A22" t="str">
            <v xml:space="preserve"> Alfalfa Seed</v>
          </cell>
          <cell r="D22" t="str">
            <v>kg (1/3)</v>
          </cell>
          <cell r="E22">
            <v>5.44</v>
          </cell>
          <cell r="F22">
            <v>8.82</v>
          </cell>
          <cell r="G22">
            <v>47.980800000000002</v>
          </cell>
          <cell r="H22">
            <v>0</v>
          </cell>
          <cell r="K22">
            <v>1</v>
          </cell>
        </row>
        <row r="23">
          <cell r="A23" t="str">
            <v xml:space="preserve"> Other Seed </v>
          </cell>
          <cell r="D23" t="str">
            <v>kg</v>
          </cell>
          <cell r="E23">
            <v>0.45</v>
          </cell>
          <cell r="F23">
            <v>2.2000000000000002</v>
          </cell>
          <cell r="G23">
            <v>0.9900000000000001</v>
          </cell>
          <cell r="H23">
            <v>0</v>
          </cell>
          <cell r="K23">
            <v>0</v>
          </cell>
        </row>
        <row r="24">
          <cell r="A24" t="str">
            <v xml:space="preserve"> Inoculant</v>
          </cell>
          <cell r="D24" t="str">
            <v>kg</v>
          </cell>
          <cell r="E24">
            <v>4.5200000000000004E-2</v>
          </cell>
          <cell r="F24">
            <v>12.78</v>
          </cell>
          <cell r="G24">
            <v>0</v>
          </cell>
          <cell r="H24">
            <v>0</v>
          </cell>
          <cell r="K24">
            <v>27.1</v>
          </cell>
        </row>
        <row r="25">
          <cell r="K25">
            <v>4.333333333333333</v>
          </cell>
        </row>
        <row r="26">
          <cell r="A26" t="str">
            <v xml:space="preserve"> Fertilizer   #1</v>
          </cell>
          <cell r="C26" t="str">
            <v>8-32-16</v>
          </cell>
          <cell r="D26" t="str">
            <v>kg</v>
          </cell>
          <cell r="E26">
            <v>50</v>
          </cell>
          <cell r="F26">
            <v>0.35</v>
          </cell>
          <cell r="G26">
            <v>17.5</v>
          </cell>
          <cell r="H26">
            <v>0</v>
          </cell>
          <cell r="K26">
            <v>0</v>
          </cell>
        </row>
        <row r="27">
          <cell r="A27" t="str">
            <v xml:space="preserve">              #2</v>
          </cell>
          <cell r="C27" t="str">
            <v>0-0-60</v>
          </cell>
          <cell r="D27" t="str">
            <v>kg</v>
          </cell>
          <cell r="E27">
            <v>40</v>
          </cell>
          <cell r="F27">
            <v>0.24</v>
          </cell>
          <cell r="G27">
            <v>9.6</v>
          </cell>
          <cell r="H27">
            <v>0</v>
          </cell>
          <cell r="K27">
            <v>0</v>
          </cell>
        </row>
        <row r="28">
          <cell r="A28" t="str">
            <v xml:space="preserve">              #3</v>
          </cell>
          <cell r="C28" t="str">
            <v xml:space="preserve"> </v>
          </cell>
          <cell r="D28" t="str">
            <v>kg</v>
          </cell>
          <cell r="E28">
            <v>0</v>
          </cell>
          <cell r="F28">
            <v>0</v>
          </cell>
          <cell r="G28">
            <v>0</v>
          </cell>
          <cell r="H28">
            <v>0</v>
          </cell>
          <cell r="K28">
            <v>0</v>
          </cell>
        </row>
        <row r="30">
          <cell r="D30" t="str">
            <v>Unit/Ac</v>
          </cell>
          <cell r="E30" t="str">
            <v>Number</v>
          </cell>
          <cell r="F30" t="str">
            <v>Cost/Unit</v>
          </cell>
          <cell r="G30" t="str">
            <v>$/Acre</v>
          </cell>
          <cell r="H30" t="str">
            <v>$/Year</v>
          </cell>
        </row>
        <row r="31">
          <cell r="D31" t="str">
            <v>-------</v>
          </cell>
          <cell r="E31" t="str">
            <v xml:space="preserve">  ------</v>
          </cell>
          <cell r="F31" t="str">
            <v>-</v>
          </cell>
          <cell r="G31" t="str">
            <v xml:space="preserve">  ------</v>
          </cell>
          <cell r="H31" t="str">
            <v xml:space="preserve">  -------</v>
          </cell>
          <cell r="J31" t="str">
            <v>Grip prob factor (component of grip)</v>
          </cell>
          <cell r="K31" t="str">
            <v xml:space="preserve">  N/A</v>
          </cell>
        </row>
        <row r="32">
          <cell r="A32" t="str">
            <v xml:space="preserve"> Herbicide </v>
          </cell>
          <cell r="J32" t="str">
            <v>C.I. prob factor (component of Crop Insurance)</v>
          </cell>
          <cell r="K32">
            <v>0</v>
          </cell>
        </row>
        <row r="33">
          <cell r="A33" t="str">
            <v xml:space="preserve">   Broadleaf Herbicides</v>
          </cell>
          <cell r="D33" t="str">
            <v>kg or l</v>
          </cell>
          <cell r="E33">
            <v>0.8</v>
          </cell>
          <cell r="F33">
            <v>16.25</v>
          </cell>
          <cell r="G33">
            <v>13</v>
          </cell>
          <cell r="H33">
            <v>0</v>
          </cell>
          <cell r="K33">
            <v>5</v>
          </cell>
        </row>
        <row r="34">
          <cell r="A34" t="str">
            <v xml:space="preserve">   Other Herbicides</v>
          </cell>
          <cell r="D34" t="str">
            <v>kg or l</v>
          </cell>
          <cell r="E34">
            <v>0</v>
          </cell>
          <cell r="F34">
            <v>0</v>
          </cell>
          <cell r="G34">
            <v>0</v>
          </cell>
          <cell r="H34">
            <v>0</v>
          </cell>
          <cell r="K34">
            <v>0</v>
          </cell>
        </row>
        <row r="35">
          <cell r="A35" t="str">
            <v xml:space="preserve"> Insecticides</v>
          </cell>
          <cell r="D35" t="str">
            <v>kg or l</v>
          </cell>
          <cell r="E35">
            <v>0</v>
          </cell>
          <cell r="F35">
            <v>0</v>
          </cell>
          <cell r="G35">
            <v>0</v>
          </cell>
          <cell r="H35">
            <v>0</v>
          </cell>
        </row>
        <row r="36">
          <cell r="A36" t="str">
            <v xml:space="preserve"> Crop Insurance</v>
          </cell>
          <cell r="D36" t="str">
            <v>Insurance</v>
          </cell>
          <cell r="E36">
            <v>1</v>
          </cell>
          <cell r="F36">
            <v>5</v>
          </cell>
          <cell r="G36">
            <v>0</v>
          </cell>
          <cell r="H36">
            <v>0</v>
          </cell>
        </row>
        <row r="37">
          <cell r="A37" t="str">
            <v xml:space="preserve"> Custom Work  #1</v>
          </cell>
          <cell r="C37" t="str">
            <v>Mowing</v>
          </cell>
          <cell r="E37">
            <v>0</v>
          </cell>
          <cell r="F37">
            <v>8</v>
          </cell>
          <cell r="G37">
            <v>0</v>
          </cell>
          <cell r="H37">
            <v>0</v>
          </cell>
        </row>
        <row r="38">
          <cell r="A38" t="str">
            <v xml:space="preserve">              #2</v>
          </cell>
          <cell r="C38" t="str">
            <v>Baling</v>
          </cell>
          <cell r="E38">
            <v>0</v>
          </cell>
          <cell r="F38">
            <v>60</v>
          </cell>
          <cell r="G38">
            <v>0</v>
          </cell>
          <cell r="H38">
            <v>0</v>
          </cell>
        </row>
        <row r="39">
          <cell r="A39" t="str">
            <v xml:space="preserve"> Baler Twine</v>
          </cell>
          <cell r="D39" t="str">
            <v>sq.bales</v>
          </cell>
          <cell r="E39">
            <v>151.83111111111111</v>
          </cell>
          <cell r="F39">
            <v>0.05</v>
          </cell>
          <cell r="G39">
            <v>0</v>
          </cell>
          <cell r="H39">
            <v>0</v>
          </cell>
        </row>
        <row r="40">
          <cell r="A40" t="str">
            <v xml:space="preserve"> Storage</v>
          </cell>
          <cell r="D40" t="str">
            <v>tonnes</v>
          </cell>
          <cell r="E40">
            <v>0</v>
          </cell>
          <cell r="F40">
            <v>0</v>
          </cell>
          <cell r="G40">
            <v>0</v>
          </cell>
          <cell r="H40">
            <v>0</v>
          </cell>
        </row>
        <row r="41">
          <cell r="A41" t="str">
            <v xml:space="preserve"> Trucking</v>
          </cell>
          <cell r="D41" t="str">
            <v>tonnes</v>
          </cell>
          <cell r="E41">
            <v>3.1</v>
          </cell>
          <cell r="F41">
            <v>0</v>
          </cell>
          <cell r="G41">
            <v>0</v>
          </cell>
          <cell r="H41">
            <v>0</v>
          </cell>
        </row>
        <row r="42">
          <cell r="A42" t="str">
            <v xml:space="preserve"> Marketing Fees</v>
          </cell>
          <cell r="E42">
            <v>0</v>
          </cell>
          <cell r="F42">
            <v>0</v>
          </cell>
          <cell r="G42">
            <v>0</v>
          </cell>
          <cell r="H42">
            <v>0</v>
          </cell>
        </row>
        <row r="43">
          <cell r="A43" t="str">
            <v xml:space="preserve"> Other</v>
          </cell>
          <cell r="D43" t="str">
            <v xml:space="preserve"> </v>
          </cell>
          <cell r="E43">
            <v>0</v>
          </cell>
          <cell r="F43">
            <v>0</v>
          </cell>
          <cell r="G43">
            <v>0</v>
          </cell>
          <cell r="H43">
            <v>0</v>
          </cell>
        </row>
        <row r="47">
          <cell r="K47" t="str">
            <v>Wfarm!L4</v>
          </cell>
        </row>
        <row r="48">
          <cell r="K48" t="str">
            <v>Wfarm!L5</v>
          </cell>
        </row>
        <row r="49">
          <cell r="K49" t="str">
            <v>Wfarm!L6</v>
          </cell>
        </row>
        <row r="50">
          <cell r="K50" t="str">
            <v>Wfarm!L7</v>
          </cell>
        </row>
        <row r="51">
          <cell r="D51" t="str">
            <v>Typical</v>
          </cell>
          <cell r="E51" t="str">
            <v xml:space="preserve"> Enterprise</v>
          </cell>
          <cell r="K51" t="str">
            <v>Wfarm!L8</v>
          </cell>
        </row>
        <row r="52">
          <cell r="D52" t="str">
            <v xml:space="preserve"> $/Acre</v>
          </cell>
          <cell r="E52" t="str">
            <v xml:space="preserve"> $ Allocated</v>
          </cell>
          <cell r="G52" t="str">
            <v>$/Acre</v>
          </cell>
          <cell r="H52" t="str">
            <v>$/Year</v>
          </cell>
        </row>
        <row r="53">
          <cell r="A53" t="str">
            <v xml:space="preserve"> Fuel</v>
          </cell>
          <cell r="D53">
            <v>8</v>
          </cell>
          <cell r="E53">
            <v>0</v>
          </cell>
          <cell r="G53">
            <v>0</v>
          </cell>
          <cell r="H53">
            <v>0</v>
          </cell>
        </row>
        <row r="54">
          <cell r="A54" t="str">
            <v xml:space="preserve"> Mach. Repair &amp; Maint.</v>
          </cell>
          <cell r="D54">
            <v>15</v>
          </cell>
          <cell r="E54">
            <v>0</v>
          </cell>
          <cell r="G54">
            <v>0</v>
          </cell>
          <cell r="H54">
            <v>0</v>
          </cell>
        </row>
        <row r="55">
          <cell r="A55" t="str">
            <v xml:space="preserve"> Bldg. Repair &amp; Maint.</v>
          </cell>
          <cell r="D55">
            <v>8</v>
          </cell>
          <cell r="E55">
            <v>0</v>
          </cell>
          <cell r="G55">
            <v>0</v>
          </cell>
          <cell r="H55">
            <v>0</v>
          </cell>
          <cell r="J55">
            <v>0</v>
          </cell>
          <cell r="K55" t="str">
            <v>Wfarm!L9</v>
          </cell>
        </row>
        <row r="56">
          <cell r="A56" t="str">
            <v xml:space="preserve"> Rent and Labour</v>
          </cell>
          <cell r="D56">
            <v>8</v>
          </cell>
          <cell r="E56">
            <v>0</v>
          </cell>
          <cell r="G56">
            <v>0</v>
          </cell>
          <cell r="H56">
            <v>0</v>
          </cell>
        </row>
        <row r="57">
          <cell r="A57" t="str">
            <v xml:space="preserve"> General Variable Costs</v>
          </cell>
          <cell r="D57">
            <v>15</v>
          </cell>
          <cell r="E57">
            <v>0</v>
          </cell>
          <cell r="G57">
            <v>0</v>
          </cell>
          <cell r="H57">
            <v>0</v>
          </cell>
        </row>
        <row r="58">
          <cell r="A58" t="str">
            <v xml:space="preserve"> Interest on</v>
          </cell>
          <cell r="C58" t="str">
            <v>%int</v>
          </cell>
          <cell r="D58" t="str">
            <v>%year</v>
          </cell>
        </row>
        <row r="59">
          <cell r="A59" t="str">
            <v xml:space="preserve"> Operating Capital</v>
          </cell>
          <cell r="C59">
            <v>8</v>
          </cell>
          <cell r="D59">
            <v>33</v>
          </cell>
          <cell r="E59">
            <v>0</v>
          </cell>
          <cell r="G59">
            <v>0</v>
          </cell>
          <cell r="H59">
            <v>0</v>
          </cell>
        </row>
        <row r="60">
          <cell r="G60" t="str">
            <v xml:space="preserve">  ------</v>
          </cell>
          <cell r="H60" t="str">
            <v xml:space="preserve">  -------</v>
          </cell>
        </row>
        <row r="61">
          <cell r="A61" t="str">
            <v>Total Variable Costs</v>
          </cell>
          <cell r="G61">
            <v>0</v>
          </cell>
          <cell r="H61">
            <v>0</v>
          </cell>
          <cell r="K61" t="str">
            <v>Wfarm!K4</v>
          </cell>
        </row>
        <row r="62">
          <cell r="D62" t="str">
            <v>Typical</v>
          </cell>
          <cell r="E62" t="str">
            <v xml:space="preserve"> Enterprise</v>
          </cell>
          <cell r="K62" t="str">
            <v>Wfarm!K5</v>
          </cell>
        </row>
        <row r="63">
          <cell r="A63" t="str">
            <v>Fixed Costs:</v>
          </cell>
          <cell r="D63" t="str">
            <v xml:space="preserve"> $/Acre</v>
          </cell>
          <cell r="E63" t="str">
            <v xml:space="preserve"> $ Allocated</v>
          </cell>
          <cell r="G63" t="str">
            <v>$/Acre</v>
          </cell>
          <cell r="H63" t="str">
            <v>$/Year</v>
          </cell>
          <cell r="K63" t="str">
            <v>Wfarm!K6</v>
          </cell>
        </row>
        <row r="64">
          <cell r="A64" t="str">
            <v xml:space="preserve"> Depreciation</v>
          </cell>
          <cell r="D64">
            <v>22</v>
          </cell>
          <cell r="E64">
            <v>0</v>
          </cell>
          <cell r="G64">
            <v>0</v>
          </cell>
          <cell r="H64">
            <v>0</v>
          </cell>
          <cell r="K64" t="str">
            <v>Wfarm!K7</v>
          </cell>
        </row>
        <row r="65">
          <cell r="A65" t="str">
            <v xml:space="preserve"> Interest on Term Loans</v>
          </cell>
          <cell r="D65">
            <v>13</v>
          </cell>
          <cell r="E65">
            <v>0</v>
          </cell>
          <cell r="G65">
            <v>0</v>
          </cell>
          <cell r="H65">
            <v>0</v>
          </cell>
        </row>
        <row r="66">
          <cell r="A66" t="str">
            <v xml:space="preserve"> Long-term Leases</v>
          </cell>
          <cell r="D66">
            <v>0</v>
          </cell>
          <cell r="E66">
            <v>0</v>
          </cell>
          <cell r="G66">
            <v>0</v>
          </cell>
          <cell r="H66">
            <v>0</v>
          </cell>
        </row>
        <row r="67">
          <cell r="A67" t="str">
            <v xml:space="preserve"> General Fixed Costs</v>
          </cell>
          <cell r="D67">
            <v>10</v>
          </cell>
          <cell r="E67">
            <v>0</v>
          </cell>
          <cell r="G67">
            <v>0</v>
          </cell>
          <cell r="H67">
            <v>0</v>
          </cell>
        </row>
        <row r="68">
          <cell r="G68" t="str">
            <v xml:space="preserve">  ------</v>
          </cell>
          <cell r="H68" t="str">
            <v xml:space="preserve">  -------</v>
          </cell>
        </row>
        <row r="69">
          <cell r="A69" t="str">
            <v>Total Fixed Costs</v>
          </cell>
          <cell r="G69">
            <v>0</v>
          </cell>
          <cell r="H69">
            <v>0</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234.05</v>
          </cell>
          <cell r="F72">
            <v>0</v>
          </cell>
        </row>
        <row r="73">
          <cell r="A73" t="str">
            <v xml:space="preserve">    add: Expected Insurance Revenues</v>
          </cell>
          <cell r="E73">
            <v>0</v>
          </cell>
          <cell r="F73">
            <v>0</v>
          </cell>
        </row>
        <row r="74">
          <cell r="A74" t="str">
            <v xml:space="preserve">    less: Variable Costs</v>
          </cell>
          <cell r="E74">
            <v>0</v>
          </cell>
          <cell r="F74">
            <v>0</v>
          </cell>
        </row>
        <row r="75">
          <cell r="E75" t="str">
            <v xml:space="preserve">  ------</v>
          </cell>
          <cell r="F75" t="str">
            <v xml:space="preserve">  -------</v>
          </cell>
        </row>
        <row r="76">
          <cell r="A76" t="str">
            <v>Expected Operating Margin</v>
          </cell>
          <cell r="E76">
            <v>0</v>
          </cell>
          <cell r="F76">
            <v>0</v>
          </cell>
        </row>
        <row r="77">
          <cell r="A77" t="str">
            <v xml:space="preserve">    less: Fixed Costs</v>
          </cell>
          <cell r="E77">
            <v>0</v>
          </cell>
          <cell r="F77">
            <v>0</v>
          </cell>
        </row>
        <row r="78">
          <cell r="E78" t="str">
            <v xml:space="preserve">  ------</v>
          </cell>
          <cell r="F78" t="str">
            <v xml:space="preserve">  -------</v>
          </cell>
        </row>
        <row r="79">
          <cell r="A79" t="str">
            <v>Expected Net Revenue</v>
          </cell>
          <cell r="E79">
            <v>0</v>
          </cell>
          <cell r="F79">
            <v>0</v>
          </cell>
        </row>
        <row r="81">
          <cell r="A81" t="str">
            <v xml:space="preserve">      Break-even $/tonne to cover:</v>
          </cell>
          <cell r="E81" t="str">
            <v>Variable Costs</v>
          </cell>
          <cell r="G81">
            <v>0</v>
          </cell>
        </row>
        <row r="82">
          <cell r="E82" t="str">
            <v>Fixed Costs</v>
          </cell>
          <cell r="G82">
            <v>0</v>
          </cell>
        </row>
        <row r="83">
          <cell r="G83" t="str">
            <v xml:space="preserve">  -------</v>
          </cell>
        </row>
        <row r="84">
          <cell r="E84" t="str">
            <v>Total Costs</v>
          </cell>
          <cell r="G84">
            <v>0</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v>0</v>
          </cell>
        </row>
        <row r="87">
          <cell r="B87" t="str">
            <v>Chance of at least</v>
          </cell>
          <cell r="D87">
            <v>0</v>
          </cell>
          <cell r="E87" t="str">
            <v>$/acre return  ==&gt;</v>
          </cell>
          <cell r="G87">
            <v>0</v>
          </cell>
          <cell r="I87">
            <v>0</v>
          </cell>
        </row>
        <row r="88">
          <cell r="B88" t="str">
            <v>Coefficient of variation                  ==&gt;</v>
          </cell>
          <cell r="G88">
            <v>0</v>
          </cell>
          <cell r="I88">
            <v>0</v>
          </cell>
        </row>
        <row r="89">
          <cell r="H89" t="str">
            <v>mn</v>
          </cell>
          <cell r="I89">
            <v>12.64</v>
          </cell>
        </row>
        <row r="90">
          <cell r="C90" t="str">
            <v>Returns $/acre</v>
          </cell>
          <cell r="E90" t="str">
            <v>Chances of at least</v>
          </cell>
          <cell r="H90" t="str">
            <v>ystd</v>
          </cell>
          <cell r="I90">
            <v>0</v>
          </cell>
        </row>
        <row r="91">
          <cell r="E91" t="str">
            <v>this return per acre</v>
          </cell>
          <cell r="H91" t="str">
            <v>pstd</v>
          </cell>
        </row>
        <row r="92">
          <cell r="H92" t="str">
            <v>nrstd</v>
          </cell>
          <cell r="I92">
            <v>0</v>
          </cell>
          <cell r="J92">
            <v>0</v>
          </cell>
        </row>
        <row r="93">
          <cell r="C93">
            <v>0</v>
          </cell>
          <cell r="E93" t="str">
            <v xml:space="preserve">       17 %</v>
          </cell>
          <cell r="I93">
            <v>0</v>
          </cell>
          <cell r="J93">
            <v>0</v>
          </cell>
        </row>
        <row r="94">
          <cell r="C94">
            <v>0</v>
          </cell>
          <cell r="E94" t="str">
            <v xml:space="preserve">       33 %</v>
          </cell>
          <cell r="H94" t="str">
            <v>z</v>
          </cell>
          <cell r="I94">
            <v>0</v>
          </cell>
          <cell r="J94">
            <v>0</v>
          </cell>
        </row>
        <row r="95">
          <cell r="C95">
            <v>0</v>
          </cell>
          <cell r="E95" t="str">
            <v xml:space="preserve">       50 %</v>
          </cell>
          <cell r="H95" t="str">
            <v>v1</v>
          </cell>
          <cell r="I95">
            <v>0</v>
          </cell>
          <cell r="J95">
            <v>0</v>
          </cell>
        </row>
        <row r="96">
          <cell r="C96">
            <v>0</v>
          </cell>
          <cell r="E96" t="str">
            <v xml:space="preserve">       67 %</v>
          </cell>
          <cell r="H96" t="str">
            <v>v2</v>
          </cell>
        </row>
        <row r="97">
          <cell r="C97">
            <v>0</v>
          </cell>
          <cell r="E97" t="str">
            <v xml:space="preserve">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WHEAT"/>
      <sheetName val="Sheet1"/>
      <sheetName val="Sheet2"/>
      <sheetName val="Sheet3"/>
      <sheetName val="CLBEAN"/>
    </sheetNames>
    <sheetDataSet>
      <sheetData sheetId="0" refreshError="1">
        <row r="1">
          <cell r="A1" t="str">
            <v>Wwheat 1</v>
          </cell>
          <cell r="C1" t="str">
            <v>WINTER WHEAT ENTERPRISE BUDGET</v>
          </cell>
          <cell r="G1" t="str">
            <v>Revised: May '98</v>
          </cell>
        </row>
        <row r="2">
          <cell r="A2">
            <v>505</v>
          </cell>
          <cell r="F2" t="str">
            <v>Profit Per Acre</v>
          </cell>
          <cell r="H2">
            <v>96.404494057335427</v>
          </cell>
        </row>
        <row r="3">
          <cell r="B3" t="str">
            <v>Number of Acres =</v>
          </cell>
          <cell r="D3">
            <v>1</v>
          </cell>
          <cell r="F3" t="str">
            <v xml:space="preserve">    1 t =</v>
          </cell>
          <cell r="G3">
            <v>36.74</v>
          </cell>
          <cell r="H3" t="str">
            <v>bu</v>
          </cell>
        </row>
        <row r="5">
          <cell r="A5" t="str">
            <v>=</v>
          </cell>
          <cell r="B5" t="str">
            <v>=</v>
          </cell>
          <cell r="C5" t="str">
            <v>=</v>
          </cell>
          <cell r="D5" t="str">
            <v>=</v>
          </cell>
          <cell r="E5" t="str">
            <v>=</v>
          </cell>
          <cell r="F5" t="str">
            <v>=</v>
          </cell>
          <cell r="G5" t="str">
            <v>=</v>
          </cell>
          <cell r="H5" t="str">
            <v>=</v>
          </cell>
        </row>
        <row r="6">
          <cell r="A6" t="str">
            <v>Wheat</v>
          </cell>
          <cell r="C6" t="str">
            <v xml:space="preserve">  Optimistic</v>
          </cell>
          <cell r="E6" t="str">
            <v xml:space="preserve">  Expected</v>
          </cell>
          <cell r="G6" t="str">
            <v xml:space="preserve"> Pessimistic</v>
          </cell>
        </row>
        <row r="7">
          <cell r="A7" t="str">
            <v xml:space="preserve"> Yield - bu/ac</v>
          </cell>
          <cell r="C7">
            <v>67</v>
          </cell>
          <cell r="E7">
            <v>53</v>
          </cell>
          <cell r="G7">
            <v>43</v>
          </cell>
        </row>
        <row r="8">
          <cell r="A8" t="str">
            <v xml:space="preserve"> Price - $/bu</v>
          </cell>
          <cell r="C8">
            <v>5.25</v>
          </cell>
          <cell r="E8">
            <v>4.04</v>
          </cell>
          <cell r="G8">
            <v>2.8</v>
          </cell>
        </row>
        <row r="9">
          <cell r="A9" t="str">
            <v>Straw</v>
          </cell>
        </row>
        <row r="10">
          <cell r="A10" t="str">
            <v xml:space="preserve"> Yield - bales/ac</v>
          </cell>
          <cell r="C10">
            <v>55</v>
          </cell>
          <cell r="E10">
            <v>50</v>
          </cell>
          <cell r="G10">
            <v>45</v>
          </cell>
        </row>
        <row r="11">
          <cell r="A11" t="str">
            <v xml:space="preserve"> Price - $/bale</v>
          </cell>
          <cell r="C11">
            <v>1.65</v>
          </cell>
          <cell r="E11">
            <v>1.5</v>
          </cell>
          <cell r="G11">
            <v>1.35</v>
          </cell>
        </row>
        <row r="12">
          <cell r="A12" t="str">
            <v>Total Production</v>
          </cell>
        </row>
        <row r="13">
          <cell r="A13" t="str">
            <v xml:space="preserve"> Wheat - bu</v>
          </cell>
          <cell r="C13">
            <v>67</v>
          </cell>
          <cell r="E13">
            <v>53</v>
          </cell>
          <cell r="G13">
            <v>43</v>
          </cell>
          <cell r="K13">
            <v>31.427029102499606</v>
          </cell>
        </row>
        <row r="14">
          <cell r="A14" t="str">
            <v xml:space="preserve"> Straw - bales</v>
          </cell>
          <cell r="C14">
            <v>55</v>
          </cell>
          <cell r="E14">
            <v>50</v>
          </cell>
          <cell r="G14">
            <v>45</v>
          </cell>
          <cell r="K14">
            <v>38.804411005463358</v>
          </cell>
        </row>
        <row r="15">
          <cell r="A15" t="str">
            <v>=</v>
          </cell>
          <cell r="B15" t="str">
            <v>=</v>
          </cell>
          <cell r="C15" t="str">
            <v>=</v>
          </cell>
          <cell r="D15" t="str">
            <v>=</v>
          </cell>
          <cell r="E15" t="str">
            <v>=</v>
          </cell>
          <cell r="F15" t="str">
            <v>=</v>
          </cell>
          <cell r="G15" t="str">
            <v>=</v>
          </cell>
          <cell r="H15" t="str">
            <v>=</v>
          </cell>
          <cell r="K15">
            <v>183.51991694812793</v>
          </cell>
        </row>
        <row r="16">
          <cell r="D16" t="str">
            <v>Insurance Evaluation</v>
          </cell>
          <cell r="K16">
            <v>48</v>
          </cell>
        </row>
        <row r="17">
          <cell r="A17" t="str">
            <v>Market Revenue Ins.</v>
          </cell>
          <cell r="E17" t="str">
            <v xml:space="preserve">  Crop Insurance</v>
          </cell>
          <cell r="K17">
            <v>289.12</v>
          </cell>
        </row>
        <row r="18">
          <cell r="A18" t="str">
            <v xml:space="preserve"> Premium/ac:</v>
          </cell>
          <cell r="D18">
            <v>10.37091960382487</v>
          </cell>
          <cell r="E18" t="str">
            <v xml:space="preserve">   C.I. Premium/ac:</v>
          </cell>
          <cell r="H18">
            <v>10.050000000000001</v>
          </cell>
          <cell r="K18">
            <v>85.022483561526968</v>
          </cell>
        </row>
        <row r="19">
          <cell r="A19" t="str">
            <v xml:space="preserve"> Guaranteed Price/bu.</v>
          </cell>
          <cell r="D19">
            <v>4.2359999999999998</v>
          </cell>
          <cell r="E19" t="str">
            <v xml:space="preserve">   Level of Coverage</v>
          </cell>
          <cell r="H19">
            <v>0.85</v>
          </cell>
          <cell r="K19">
            <v>1.4425694066412629</v>
          </cell>
        </row>
        <row r="20">
          <cell r="A20" t="str">
            <v xml:space="preserve"> Probability of a payout</v>
          </cell>
          <cell r="D20">
            <v>0.56364321598595524</v>
          </cell>
          <cell r="E20" t="str">
            <v xml:space="preserve">   Guaranteed Yield/ac.</v>
          </cell>
          <cell r="H20">
            <v>45.05</v>
          </cell>
          <cell r="K20">
            <v>148.42960000000002</v>
          </cell>
        </row>
        <row r="21">
          <cell r="A21" t="str">
            <v xml:space="preserve"> Expected Payout/ac</v>
          </cell>
          <cell r="D21">
            <v>31.427029102499606</v>
          </cell>
          <cell r="E21" t="str">
            <v xml:space="preserve">   Probability of a payout</v>
          </cell>
          <cell r="H21">
            <v>0.25382655828740069</v>
          </cell>
          <cell r="K21" t="str">
            <v>Allo!C3..J14</v>
          </cell>
        </row>
        <row r="22">
          <cell r="D22">
            <v>0.56364321598595524</v>
          </cell>
          <cell r="E22" t="str">
            <v xml:space="preserve">   Expected Payout/ac</v>
          </cell>
          <cell r="H22">
            <v>7.3773819029637506</v>
          </cell>
          <cell r="K22">
            <v>1</v>
          </cell>
        </row>
        <row r="23">
          <cell r="H23">
            <v>0.25382655828740069</v>
          </cell>
          <cell r="K23">
            <v>34.840000000000003</v>
          </cell>
        </row>
        <row r="24">
          <cell r="A24" t="str">
            <v>Participate in MRIP? (y/n)</v>
          </cell>
          <cell r="D24" t="str">
            <v>Yes</v>
          </cell>
          <cell r="E24" t="str">
            <v xml:space="preserve">  Participate in CI? (y/n)</v>
          </cell>
          <cell r="H24" t="str">
            <v>Yes</v>
          </cell>
          <cell r="K24">
            <v>35.700000000000003</v>
          </cell>
        </row>
        <row r="25">
          <cell r="A25" t="str">
            <v>=</v>
          </cell>
          <cell r="B25" t="str">
            <v>=</v>
          </cell>
          <cell r="C25" t="str">
            <v>=</v>
          </cell>
          <cell r="D25" t="str">
            <v>=</v>
          </cell>
          <cell r="E25" t="str">
            <v>=</v>
          </cell>
          <cell r="F25" t="str">
            <v>=</v>
          </cell>
          <cell r="G25" t="str">
            <v>=</v>
          </cell>
          <cell r="H25" t="str">
            <v>=</v>
          </cell>
          <cell r="K25">
            <v>4.9499999999999993</v>
          </cell>
        </row>
        <row r="26">
          <cell r="D26" t="str">
            <v>Unit/Ac</v>
          </cell>
          <cell r="E26" t="str">
            <v>Number</v>
          </cell>
          <cell r="F26" t="str">
            <v>Cost/Unit</v>
          </cell>
          <cell r="G26" t="str">
            <v>$/Acre</v>
          </cell>
          <cell r="H26" t="str">
            <v>$/Year</v>
          </cell>
          <cell r="K26">
            <v>32.576336043672448</v>
          </cell>
        </row>
        <row r="27">
          <cell r="A27" t="str">
            <v>Expenses</v>
          </cell>
          <cell r="D27" t="str">
            <v>-------</v>
          </cell>
          <cell r="E27" t="str">
            <v xml:space="preserve">  ------</v>
          </cell>
          <cell r="F27" t="str">
            <v>-</v>
          </cell>
          <cell r="G27" t="str">
            <v xml:space="preserve">  -------</v>
          </cell>
          <cell r="H27" t="str">
            <v xml:space="preserve">  -------</v>
          </cell>
          <cell r="K27">
            <v>1.4425694066412629</v>
          </cell>
        </row>
        <row r="28">
          <cell r="A28" t="str">
            <v>Variable Costs:</v>
          </cell>
          <cell r="K28">
            <v>0</v>
          </cell>
        </row>
        <row r="29">
          <cell r="A29" t="str">
            <v xml:space="preserve"> Seed </v>
          </cell>
          <cell r="D29" t="str">
            <v>kg</v>
          </cell>
          <cell r="E29">
            <v>52</v>
          </cell>
          <cell r="F29">
            <v>0.67</v>
          </cell>
          <cell r="G29">
            <v>34.840000000000003</v>
          </cell>
          <cell r="H29">
            <v>34.840000000000003</v>
          </cell>
        </row>
        <row r="30">
          <cell r="A30" t="str">
            <v xml:space="preserve"> Seed Treatment</v>
          </cell>
          <cell r="D30" t="str">
            <v>kg</v>
          </cell>
          <cell r="E30">
            <v>0</v>
          </cell>
          <cell r="F30">
            <v>0</v>
          </cell>
          <cell r="G30">
            <v>0</v>
          </cell>
          <cell r="H30">
            <v>0</v>
          </cell>
        </row>
        <row r="31">
          <cell r="A31" t="str">
            <v xml:space="preserve"> Fertilizer   #1</v>
          </cell>
          <cell r="C31" t="str">
            <v>6-24-24</v>
          </cell>
          <cell r="D31" t="str">
            <v>kg</v>
          </cell>
          <cell r="E31">
            <v>40</v>
          </cell>
          <cell r="F31">
            <v>0.35</v>
          </cell>
          <cell r="G31">
            <v>14</v>
          </cell>
          <cell r="H31">
            <v>14</v>
          </cell>
          <cell r="J31" t="str">
            <v>Grip prob factor (component of grip)</v>
          </cell>
          <cell r="K31">
            <v>0.94677280000000008</v>
          </cell>
        </row>
        <row r="32">
          <cell r="B32" t="str">
            <v xml:space="preserve">     #2</v>
          </cell>
          <cell r="C32" t="str">
            <v>Urea 46%</v>
          </cell>
          <cell r="D32" t="str">
            <v>kg</v>
          </cell>
          <cell r="E32">
            <v>70</v>
          </cell>
          <cell r="F32">
            <v>0.31</v>
          </cell>
          <cell r="G32">
            <v>21.7</v>
          </cell>
          <cell r="H32">
            <v>21.7</v>
          </cell>
          <cell r="J32" t="str">
            <v>C.I. prob factor (component of Crop Insurance)</v>
          </cell>
          <cell r="K32">
            <v>1.2203938750000001</v>
          </cell>
        </row>
        <row r="33">
          <cell r="B33" t="str">
            <v xml:space="preserve">     #3</v>
          </cell>
          <cell r="C33" t="str">
            <v xml:space="preserve"> </v>
          </cell>
          <cell r="D33" t="str">
            <v>kg</v>
          </cell>
          <cell r="E33">
            <v>0</v>
          </cell>
          <cell r="F33">
            <v>0</v>
          </cell>
          <cell r="G33">
            <v>0</v>
          </cell>
          <cell r="H33">
            <v>0</v>
          </cell>
          <cell r="K33">
            <v>10.050000000000001</v>
          </cell>
        </row>
        <row r="34">
          <cell r="K34">
            <v>20.420919603824871</v>
          </cell>
        </row>
        <row r="35">
          <cell r="D35" t="str">
            <v>Unit/Ac</v>
          </cell>
          <cell r="E35" t="str">
            <v>Number</v>
          </cell>
          <cell r="F35" t="str">
            <v>Cost/Unit</v>
          </cell>
          <cell r="G35" t="str">
            <v>$/Acre</v>
          </cell>
          <cell r="H35" t="str">
            <v>$/Year</v>
          </cell>
        </row>
        <row r="36">
          <cell r="A36" t="str">
            <v xml:space="preserve"> Herbicide </v>
          </cell>
          <cell r="D36" t="str">
            <v>-------</v>
          </cell>
          <cell r="E36" t="str">
            <v xml:space="preserve">  ------</v>
          </cell>
          <cell r="F36" t="str">
            <v>-</v>
          </cell>
          <cell r="G36" t="str">
            <v xml:space="preserve">  -------</v>
          </cell>
          <cell r="H36" t="str">
            <v xml:space="preserve">  -------</v>
          </cell>
        </row>
        <row r="37">
          <cell r="A37" t="str">
            <v xml:space="preserve">   Annual Grasses</v>
          </cell>
          <cell r="D37" t="str">
            <v>kg or l</v>
          </cell>
          <cell r="E37">
            <v>0</v>
          </cell>
          <cell r="F37">
            <v>0</v>
          </cell>
          <cell r="G37">
            <v>0</v>
          </cell>
          <cell r="H37">
            <v>0</v>
          </cell>
        </row>
        <row r="38">
          <cell r="A38" t="str">
            <v xml:space="preserve">   Broadleaf Herbicides</v>
          </cell>
          <cell r="D38" t="str">
            <v>kg or l</v>
          </cell>
          <cell r="E38">
            <v>0.75</v>
          </cell>
          <cell r="F38">
            <v>6.6</v>
          </cell>
          <cell r="G38">
            <v>4.9499999999999993</v>
          </cell>
          <cell r="H38">
            <v>4.9499999999999993</v>
          </cell>
        </row>
        <row r="39">
          <cell r="A39" t="str">
            <v xml:space="preserve">   Other Herbicides</v>
          </cell>
          <cell r="D39" t="str">
            <v>kg or l</v>
          </cell>
          <cell r="E39">
            <v>0</v>
          </cell>
          <cell r="F39">
            <v>0</v>
          </cell>
          <cell r="G39">
            <v>0</v>
          </cell>
          <cell r="H39">
            <v>0</v>
          </cell>
        </row>
        <row r="40">
          <cell r="A40" t="str">
            <v xml:space="preserve"> Insecticides</v>
          </cell>
          <cell r="D40" t="str">
            <v>kg or l</v>
          </cell>
          <cell r="E40">
            <v>0</v>
          </cell>
          <cell r="F40">
            <v>0</v>
          </cell>
          <cell r="G40">
            <v>0</v>
          </cell>
          <cell r="H40">
            <v>0</v>
          </cell>
        </row>
        <row r="41">
          <cell r="A41" t="str">
            <v xml:space="preserve"> Fungicides</v>
          </cell>
          <cell r="D41" t="str">
            <v>kg or l</v>
          </cell>
          <cell r="E41">
            <v>0</v>
          </cell>
          <cell r="F41">
            <v>0</v>
          </cell>
          <cell r="G41">
            <v>0</v>
          </cell>
          <cell r="H41">
            <v>0</v>
          </cell>
        </row>
        <row r="42">
          <cell r="A42" t="str">
            <v xml:space="preserve"> Growth Regulators</v>
          </cell>
          <cell r="D42" t="str">
            <v xml:space="preserve"> </v>
          </cell>
          <cell r="E42">
            <v>0</v>
          </cell>
          <cell r="F42">
            <v>0</v>
          </cell>
          <cell r="G42">
            <v>0</v>
          </cell>
          <cell r="H42">
            <v>0</v>
          </cell>
        </row>
        <row r="43">
          <cell r="A43" t="str">
            <v xml:space="preserve"> Crop Insurance</v>
          </cell>
          <cell r="D43" t="str">
            <v>Insurance</v>
          </cell>
          <cell r="E43">
            <v>1</v>
          </cell>
          <cell r="F43">
            <v>10.050000000000001</v>
          </cell>
          <cell r="G43">
            <v>10.050000000000001</v>
          </cell>
          <cell r="H43">
            <v>10.050000000000001</v>
          </cell>
        </row>
        <row r="44">
          <cell r="A44" t="str">
            <v xml:space="preserve"> Market Revenue Insurance</v>
          </cell>
          <cell r="D44" t="str">
            <v>Insurance</v>
          </cell>
          <cell r="E44">
            <v>1</v>
          </cell>
          <cell r="F44">
            <v>10.37091960382487</v>
          </cell>
          <cell r="G44">
            <v>10.37091960382487</v>
          </cell>
          <cell r="H44">
            <v>10.37091960382487</v>
          </cell>
        </row>
        <row r="45">
          <cell r="A45" t="str">
            <v xml:space="preserve"> Custom Work  #1</v>
          </cell>
          <cell r="C45" t="str">
            <v xml:space="preserve">Combine       </v>
          </cell>
          <cell r="E45">
            <v>0</v>
          </cell>
          <cell r="F45">
            <v>25</v>
          </cell>
          <cell r="G45">
            <v>0</v>
          </cell>
          <cell r="H45">
            <v>0</v>
          </cell>
        </row>
        <row r="46">
          <cell r="A46" t="str">
            <v xml:space="preserve">              #2</v>
          </cell>
          <cell r="C46" t="str">
            <v xml:space="preserve">Spreader Rental  </v>
          </cell>
          <cell r="E46">
            <v>0</v>
          </cell>
          <cell r="F46">
            <v>5</v>
          </cell>
          <cell r="G46">
            <v>0</v>
          </cell>
          <cell r="H46">
            <v>0</v>
          </cell>
        </row>
        <row r="47">
          <cell r="A47" t="str">
            <v xml:space="preserve"> Drying </v>
          </cell>
          <cell r="D47" t="str">
            <v>tonnes</v>
          </cell>
          <cell r="E47">
            <v>1.5868263473053892</v>
          </cell>
          <cell r="F47">
            <v>0</v>
          </cell>
          <cell r="G47">
            <v>0</v>
          </cell>
          <cell r="H47">
            <v>0</v>
          </cell>
        </row>
        <row r="48">
          <cell r="A48" t="str">
            <v xml:space="preserve"> Storage</v>
          </cell>
          <cell r="D48" t="str">
            <v>tonnes</v>
          </cell>
          <cell r="E48">
            <v>0</v>
          </cell>
          <cell r="F48">
            <v>0</v>
          </cell>
          <cell r="G48">
            <v>0</v>
          </cell>
          <cell r="H48">
            <v>0</v>
          </cell>
        </row>
        <row r="49">
          <cell r="A49" t="str">
            <v xml:space="preserve"> Trucking</v>
          </cell>
          <cell r="D49" t="str">
            <v>tonnes</v>
          </cell>
          <cell r="E49">
            <v>1.4425694066412629</v>
          </cell>
          <cell r="F49">
            <v>6</v>
          </cell>
          <cell r="G49">
            <v>8.6554164398475777</v>
          </cell>
          <cell r="H49">
            <v>8.6554164398475777</v>
          </cell>
        </row>
        <row r="51">
          <cell r="A51" t="str">
            <v xml:space="preserve"> Marketing Fee</v>
          </cell>
          <cell r="D51" t="str">
            <v>tonnes</v>
          </cell>
          <cell r="E51">
            <v>1.4425694066412629</v>
          </cell>
          <cell r="F51">
            <v>1</v>
          </cell>
          <cell r="G51">
            <v>1.4425694066412629</v>
          </cell>
          <cell r="H51">
            <v>1.4425694066412629</v>
          </cell>
        </row>
        <row r="52">
          <cell r="A52" t="str">
            <v xml:space="preserve"> Twine</v>
          </cell>
          <cell r="D52" t="str">
            <v>sq. bales</v>
          </cell>
          <cell r="E52">
            <v>50</v>
          </cell>
          <cell r="F52">
            <v>7.0000000000000007E-2</v>
          </cell>
          <cell r="G52">
            <v>3.5000000000000004</v>
          </cell>
          <cell r="H52">
            <v>3.5000000000000004</v>
          </cell>
        </row>
        <row r="53">
          <cell r="A53" t="str">
            <v xml:space="preserve"> Other</v>
          </cell>
          <cell r="D53" t="str">
            <v xml:space="preserve"> </v>
          </cell>
          <cell r="E53">
            <v>0</v>
          </cell>
          <cell r="F53">
            <v>0</v>
          </cell>
          <cell r="G53">
            <v>0</v>
          </cell>
          <cell r="H53">
            <v>0</v>
          </cell>
        </row>
        <row r="56">
          <cell r="D56" t="str">
            <v>Typical</v>
          </cell>
          <cell r="E56" t="str">
            <v xml:space="preserve"> Enterprise</v>
          </cell>
        </row>
        <row r="57">
          <cell r="D57" t="str">
            <v xml:space="preserve"> $/Acre</v>
          </cell>
          <cell r="E57" t="str">
            <v xml:space="preserve"> $ Allocated</v>
          </cell>
          <cell r="G57" t="str">
            <v>$/Acre</v>
          </cell>
          <cell r="H57" t="str">
            <v>$/Year</v>
          </cell>
        </row>
        <row r="58">
          <cell r="A58" t="str">
            <v xml:space="preserve"> Fuel</v>
          </cell>
          <cell r="D58">
            <v>11</v>
          </cell>
          <cell r="E58">
            <v>0</v>
          </cell>
          <cell r="G58">
            <v>11</v>
          </cell>
          <cell r="H58">
            <v>11</v>
          </cell>
          <cell r="K58" t="str">
            <v>Wfarm!L4</v>
          </cell>
        </row>
        <row r="59">
          <cell r="A59" t="str">
            <v xml:space="preserve"> Mach. Repair &amp; Maint.</v>
          </cell>
          <cell r="D59">
            <v>16</v>
          </cell>
          <cell r="E59">
            <v>0</v>
          </cell>
          <cell r="G59">
            <v>16</v>
          </cell>
          <cell r="H59">
            <v>16</v>
          </cell>
          <cell r="K59" t="str">
            <v>Wfarm!L5</v>
          </cell>
        </row>
        <row r="60">
          <cell r="A60" t="str">
            <v xml:space="preserve"> Bldg. Repair &amp; Maint.</v>
          </cell>
          <cell r="D60">
            <v>7</v>
          </cell>
          <cell r="E60">
            <v>0</v>
          </cell>
          <cell r="G60">
            <v>7</v>
          </cell>
          <cell r="H60">
            <v>7</v>
          </cell>
          <cell r="K60" t="str">
            <v>Wfarm!L6</v>
          </cell>
        </row>
        <row r="61">
          <cell r="A61" t="str">
            <v xml:space="preserve"> Rent and Labour</v>
          </cell>
          <cell r="D61">
            <v>16</v>
          </cell>
          <cell r="E61">
            <v>0</v>
          </cell>
          <cell r="G61">
            <v>16</v>
          </cell>
          <cell r="H61">
            <v>16</v>
          </cell>
          <cell r="K61" t="str">
            <v>Wfarm!L7</v>
          </cell>
        </row>
        <row r="62">
          <cell r="A62" t="str">
            <v xml:space="preserve"> General Variable Costs</v>
          </cell>
          <cell r="D62">
            <v>15</v>
          </cell>
          <cell r="E62">
            <v>0</v>
          </cell>
          <cell r="G62">
            <v>15</v>
          </cell>
          <cell r="H62">
            <v>15</v>
          </cell>
          <cell r="K62" t="str">
            <v>Wfarm!L8</v>
          </cell>
        </row>
        <row r="64">
          <cell r="A64" t="str">
            <v xml:space="preserve"> Interest on</v>
          </cell>
          <cell r="C64" t="str">
            <v>%int</v>
          </cell>
          <cell r="D64" t="str">
            <v>%year</v>
          </cell>
        </row>
        <row r="65">
          <cell r="A65" t="str">
            <v xml:space="preserve"> Operating Capital</v>
          </cell>
          <cell r="C65">
            <v>8</v>
          </cell>
          <cell r="D65">
            <v>70</v>
          </cell>
          <cell r="E65">
            <v>0</v>
          </cell>
          <cell r="G65">
            <v>9.0110114978141933</v>
          </cell>
          <cell r="H65">
            <v>9.0110114978141933</v>
          </cell>
          <cell r="J65">
            <v>9.0110114978141933</v>
          </cell>
          <cell r="K65" t="str">
            <v>Wfarm!L9</v>
          </cell>
        </row>
        <row r="66">
          <cell r="G66" t="str">
            <v xml:space="preserve">  -------</v>
          </cell>
          <cell r="H66" t="str">
            <v xml:space="preserve">  -------</v>
          </cell>
        </row>
        <row r="67">
          <cell r="A67" t="str">
            <v>Total Variable Costs</v>
          </cell>
          <cell r="G67">
            <v>183.51991694812793</v>
          </cell>
          <cell r="H67">
            <v>183.51991694812793</v>
          </cell>
        </row>
        <row r="70">
          <cell r="D70" t="str">
            <v>Typical</v>
          </cell>
          <cell r="E70" t="str">
            <v xml:space="preserve"> Enterprise</v>
          </cell>
        </row>
        <row r="71">
          <cell r="A71" t="str">
            <v>Fixed Costs:</v>
          </cell>
          <cell r="D71" t="str">
            <v xml:space="preserve"> $/Acre</v>
          </cell>
          <cell r="E71" t="str">
            <v xml:space="preserve"> $ Allocated</v>
          </cell>
          <cell r="G71" t="str">
            <v>$/Acre</v>
          </cell>
          <cell r="H71" t="str">
            <v>$/Year</v>
          </cell>
        </row>
        <row r="72">
          <cell r="A72" t="str">
            <v xml:space="preserve"> Depreciation</v>
          </cell>
          <cell r="D72">
            <v>27</v>
          </cell>
          <cell r="E72">
            <v>0</v>
          </cell>
          <cell r="G72">
            <v>27</v>
          </cell>
          <cell r="H72">
            <v>27</v>
          </cell>
          <cell r="K72" t="str">
            <v>Wfarm!K4</v>
          </cell>
        </row>
        <row r="73">
          <cell r="A73" t="str">
            <v xml:space="preserve"> Interest on Term Loans</v>
          </cell>
          <cell r="D73">
            <v>16</v>
          </cell>
          <cell r="E73">
            <v>0</v>
          </cell>
          <cell r="G73">
            <v>16</v>
          </cell>
          <cell r="H73">
            <v>16</v>
          </cell>
          <cell r="K73" t="str">
            <v>Wfarm!K5</v>
          </cell>
        </row>
        <row r="74">
          <cell r="A74" t="str">
            <v xml:space="preserve"> Long-term Leases</v>
          </cell>
          <cell r="D74">
            <v>0</v>
          </cell>
          <cell r="E74">
            <v>0</v>
          </cell>
          <cell r="G74">
            <v>0</v>
          </cell>
          <cell r="H74">
            <v>0</v>
          </cell>
          <cell r="K74" t="str">
            <v>Wfarm!K6</v>
          </cell>
        </row>
        <row r="75">
          <cell r="A75" t="str">
            <v xml:space="preserve"> General Fixed Costs</v>
          </cell>
          <cell r="D75">
            <v>5</v>
          </cell>
          <cell r="E75">
            <v>0</v>
          </cell>
          <cell r="G75">
            <v>5</v>
          </cell>
          <cell r="H75">
            <v>5</v>
          </cell>
          <cell r="K75" t="str">
            <v>Wfarm!K7</v>
          </cell>
        </row>
        <row r="76">
          <cell r="G76" t="str">
            <v xml:space="preserve">  -------</v>
          </cell>
          <cell r="H76" t="str">
            <v xml:space="preserve">  -------</v>
          </cell>
        </row>
        <row r="77">
          <cell r="A77" t="str">
            <v>Total Fixed Costs</v>
          </cell>
          <cell r="G77">
            <v>48</v>
          </cell>
          <cell r="H77">
            <v>48</v>
          </cell>
        </row>
        <row r="79">
          <cell r="A79" t="str">
            <v>=</v>
          </cell>
          <cell r="B79" t="str">
            <v>=</v>
          </cell>
          <cell r="C79" t="str">
            <v>=</v>
          </cell>
          <cell r="D79" t="str">
            <v>=</v>
          </cell>
          <cell r="E79" t="str">
            <v>=</v>
          </cell>
          <cell r="F79" t="str">
            <v>=</v>
          </cell>
          <cell r="G79" t="str">
            <v>=</v>
          </cell>
          <cell r="H79" t="str">
            <v>=</v>
          </cell>
        </row>
        <row r="80">
          <cell r="A80" t="str">
            <v>Revenues:</v>
          </cell>
          <cell r="E80" t="str">
            <v>$/Acre</v>
          </cell>
          <cell r="F80" t="str">
            <v>$/Year</v>
          </cell>
        </row>
        <row r="81">
          <cell r="A81" t="str">
            <v>Total Expected Revenues</v>
          </cell>
          <cell r="E81">
            <v>289.12</v>
          </cell>
          <cell r="F81">
            <v>289.12</v>
          </cell>
        </row>
        <row r="82">
          <cell r="A82" t="str">
            <v xml:space="preserve">    add: Expected Insurance Revenues</v>
          </cell>
          <cell r="E82">
            <v>38.804411005463358</v>
          </cell>
          <cell r="F82">
            <v>38.804411005463358</v>
          </cell>
        </row>
        <row r="83">
          <cell r="A83" t="str">
            <v xml:space="preserve">    less: Variable Costs</v>
          </cell>
          <cell r="E83">
            <v>183.51991694812793</v>
          </cell>
          <cell r="F83">
            <v>183.51991694812793</v>
          </cell>
        </row>
        <row r="84">
          <cell r="E84" t="str">
            <v xml:space="preserve">  -------</v>
          </cell>
          <cell r="F84" t="str">
            <v xml:space="preserve">  -------</v>
          </cell>
        </row>
        <row r="85">
          <cell r="A85" t="str">
            <v>Expected Operating Margin</v>
          </cell>
          <cell r="E85">
            <v>144.40449405733543</v>
          </cell>
          <cell r="F85">
            <v>144.40449405733543</v>
          </cell>
        </row>
        <row r="86">
          <cell r="A86" t="str">
            <v xml:space="preserve">    less: Fixed Costs</v>
          </cell>
          <cell r="E86">
            <v>48</v>
          </cell>
          <cell r="F86">
            <v>48</v>
          </cell>
        </row>
        <row r="87">
          <cell r="E87" t="str">
            <v xml:space="preserve">  -------</v>
          </cell>
          <cell r="F87" t="str">
            <v xml:space="preserve">  -------</v>
          </cell>
        </row>
        <row r="88">
          <cell r="A88" t="str">
            <v>Expected Net Revenue</v>
          </cell>
          <cell r="E88">
            <v>96.404494057335427</v>
          </cell>
          <cell r="F88">
            <v>96.404494057335427</v>
          </cell>
        </row>
        <row r="90">
          <cell r="A90" t="str">
            <v xml:space="preserve">         Break-even $/bu to cover:</v>
          </cell>
          <cell r="E90" t="str">
            <v>Variable Costs</v>
          </cell>
          <cell r="G90">
            <v>3.4626399424175083</v>
          </cell>
        </row>
        <row r="91">
          <cell r="E91" t="str">
            <v>Fixed Costs</v>
          </cell>
          <cell r="G91">
            <v>0.90566037735849059</v>
          </cell>
        </row>
        <row r="92">
          <cell r="G92" t="str">
            <v xml:space="preserve">  -------</v>
          </cell>
        </row>
        <row r="93">
          <cell r="E93" t="str">
            <v>Total Costs</v>
          </cell>
          <cell r="G93">
            <v>4.3683003197759991</v>
          </cell>
        </row>
        <row r="96">
          <cell r="A96" t="str">
            <v>=</v>
          </cell>
          <cell r="B96" t="str">
            <v>=</v>
          </cell>
          <cell r="C96" t="str">
            <v>=</v>
          </cell>
          <cell r="D96" t="str">
            <v>=</v>
          </cell>
          <cell r="E96" t="str">
            <v>=</v>
          </cell>
          <cell r="F96" t="str">
            <v>=</v>
          </cell>
          <cell r="G96" t="str">
            <v>=</v>
          </cell>
          <cell r="H96" t="str">
            <v>=</v>
          </cell>
          <cell r="I96">
            <v>5</v>
          </cell>
        </row>
        <row r="97">
          <cell r="I97">
            <v>0.14999999999999991</v>
          </cell>
        </row>
        <row r="98">
          <cell r="I98">
            <v>96.404494057335427</v>
          </cell>
        </row>
        <row r="99">
          <cell r="I99">
            <v>18.160143000000001</v>
          </cell>
        </row>
        <row r="100">
          <cell r="I100">
            <v>0.74306013000000004</v>
          </cell>
        </row>
        <row r="101">
          <cell r="B101" t="str">
            <v>Chance of at least breaking even          ==&gt;</v>
          </cell>
          <cell r="G101">
            <v>0.87157553395802667</v>
          </cell>
          <cell r="I101">
            <v>85.022483561526968</v>
          </cell>
        </row>
        <row r="102">
          <cell r="B102" t="str">
            <v>Chance of at least</v>
          </cell>
          <cell r="D102">
            <v>0</v>
          </cell>
          <cell r="E102" t="str">
            <v>$/acre return  ==&gt;</v>
          </cell>
          <cell r="G102">
            <v>0.87157553395802667</v>
          </cell>
          <cell r="H102" t="str">
            <v>systd</v>
          </cell>
        </row>
        <row r="103">
          <cell r="B103" t="str">
            <v>Coefficient of variation                  ==&gt;</v>
          </cell>
          <cell r="G103">
            <v>0.2940733382731287</v>
          </cell>
          <cell r="H103" t="str">
            <v>spstd</v>
          </cell>
          <cell r="I103">
            <v>1.1338705953887105</v>
          </cell>
        </row>
        <row r="104">
          <cell r="H104" t="str">
            <v>mn</v>
          </cell>
          <cell r="I104">
            <v>0.79198389441873196</v>
          </cell>
          <cell r="J104">
            <v>1.1338705953887105</v>
          </cell>
        </row>
        <row r="105">
          <cell r="C105" t="str">
            <v>Returns $/acre</v>
          </cell>
          <cell r="E105" t="str">
            <v>Chances of at least</v>
          </cell>
          <cell r="H105" t="str">
            <v>ystd</v>
          </cell>
          <cell r="I105">
            <v>0.20976450227799115</v>
          </cell>
          <cell r="J105">
            <v>0.79198389441873196</v>
          </cell>
        </row>
        <row r="106">
          <cell r="E106" t="str">
            <v>this return per acre</v>
          </cell>
          <cell r="H106" t="str">
            <v>pstd</v>
          </cell>
          <cell r="I106">
            <v>0.12842446604197327</v>
          </cell>
          <cell r="J106">
            <v>0.20976450227799115</v>
          </cell>
        </row>
        <row r="107">
          <cell r="H107" t="str">
            <v>nrstd</v>
          </cell>
          <cell r="J107">
            <v>0.12842446604197327</v>
          </cell>
        </row>
        <row r="108">
          <cell r="C108">
            <v>178.87630311201659</v>
          </cell>
          <cell r="E108" t="str">
            <v xml:space="preserve">       17 %</v>
          </cell>
        </row>
        <row r="109">
          <cell r="C109">
            <v>132.96416198879203</v>
          </cell>
          <cell r="E109" t="str">
            <v xml:space="preserve">       33 %</v>
          </cell>
          <cell r="H109" t="str">
            <v>z</v>
          </cell>
        </row>
        <row r="110">
          <cell r="C110">
            <v>96.404494057335427</v>
          </cell>
          <cell r="E110" t="str">
            <v xml:space="preserve">       50 %</v>
          </cell>
          <cell r="H110" t="str">
            <v>v1</v>
          </cell>
        </row>
        <row r="111">
          <cell r="C111">
            <v>59.844826125878832</v>
          </cell>
          <cell r="E111" t="str">
            <v xml:space="preserve">       67 %</v>
          </cell>
          <cell r="H111" t="str">
            <v>v2</v>
          </cell>
        </row>
        <row r="112">
          <cell r="C112">
            <v>13.932685002654267</v>
          </cell>
          <cell r="E112" t="str">
            <v xml:space="preserve">       83 %</v>
          </cell>
          <cell r="H112" t="str">
            <v>p(vx)</v>
          </cell>
        </row>
        <row r="113">
          <cell r="H113" t="str">
            <v/>
          </cell>
        </row>
        <row r="114">
          <cell r="E114" t="str">
            <v>- End of Budget -</v>
          </cell>
        </row>
        <row r="115">
          <cell r="A115" t="str">
            <v>=</v>
          </cell>
          <cell r="B115" t="str">
            <v>=</v>
          </cell>
          <cell r="C115" t="str">
            <v>=</v>
          </cell>
          <cell r="D115" t="str">
            <v>=</v>
          </cell>
          <cell r="E115" t="str">
            <v>=</v>
          </cell>
          <cell r="F115" t="str">
            <v>=</v>
          </cell>
          <cell r="G115" t="str">
            <v>=</v>
          </cell>
          <cell r="H115" t="str">
            <v>=</v>
          </cell>
        </row>
      </sheetData>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sheetNames>
    <sheetDataSet>
      <sheetData sheetId="0" refreshError="1">
        <row r="1">
          <cell r="A1" t="str">
            <v>Corn 1</v>
          </cell>
          <cell r="C1" t="str">
            <v>GRAIN CORN ENTERPRISE BUDGET</v>
          </cell>
          <cell r="G1" t="str">
            <v>Revised: May '98</v>
          </cell>
        </row>
        <row r="2">
          <cell r="A2">
            <v>502</v>
          </cell>
          <cell r="F2" t="str">
            <v>Profit Per Acre</v>
          </cell>
          <cell r="H2">
            <v>118.68321594062348</v>
          </cell>
        </row>
        <row r="3">
          <cell r="B3" t="str">
            <v>Number of Acres =</v>
          </cell>
          <cell r="D3">
            <v>1</v>
          </cell>
          <cell r="F3" t="str">
            <v xml:space="preserve">    1 t =</v>
          </cell>
          <cell r="G3">
            <v>39.368000000000002</v>
          </cell>
          <cell r="H3" t="str">
            <v>bu</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bu/ac</v>
          </cell>
          <cell r="C7">
            <v>150</v>
          </cell>
          <cell r="E7">
            <v>130</v>
          </cell>
          <cell r="G7">
            <v>90</v>
          </cell>
        </row>
        <row r="8">
          <cell r="A8" t="str">
            <v>Price - $/bu</v>
          </cell>
          <cell r="C8">
            <v>4.22</v>
          </cell>
          <cell r="E8">
            <v>3.44</v>
          </cell>
          <cell r="G8">
            <v>2.67</v>
          </cell>
        </row>
        <row r="9">
          <cell r="A9" t="str">
            <v>Production - bu</v>
          </cell>
          <cell r="C9">
            <v>150</v>
          </cell>
          <cell r="E9">
            <v>130</v>
          </cell>
          <cell r="G9">
            <v>90</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13.349808004532308</v>
          </cell>
          <cell r="E13" t="str">
            <v xml:space="preserve">   C.I. Premium/ac:</v>
          </cell>
          <cell r="H13">
            <v>13.05</v>
          </cell>
          <cell r="K13">
            <v>40.453963650097904</v>
          </cell>
        </row>
        <row r="14">
          <cell r="A14" t="str">
            <v xml:space="preserve"> Guaranteed Price/bu</v>
          </cell>
          <cell r="D14">
            <v>3.444</v>
          </cell>
          <cell r="E14" t="str">
            <v xml:space="preserve">   Level of Coverage</v>
          </cell>
          <cell r="H14">
            <v>0.85</v>
          </cell>
          <cell r="K14">
            <v>56.488294452697446</v>
          </cell>
        </row>
        <row r="15">
          <cell r="A15" t="str">
            <v xml:space="preserve"> Probability of a payout</v>
          </cell>
          <cell r="D15">
            <v>0.50204663632757562</v>
          </cell>
          <cell r="E15" t="str">
            <v xml:space="preserve">   Guaranteed Yield/ac.</v>
          </cell>
          <cell r="H15">
            <v>110.5</v>
          </cell>
          <cell r="K15">
            <v>333.50507851207396</v>
          </cell>
        </row>
        <row r="16">
          <cell r="A16" t="str">
            <v xml:space="preserve"> Expected Payout/ac</v>
          </cell>
          <cell r="D16">
            <v>40.453963650097904</v>
          </cell>
          <cell r="E16" t="str">
            <v xml:space="preserve">   Probability of a payout</v>
          </cell>
          <cell r="H16">
            <v>0.25784759563400739</v>
          </cell>
          <cell r="K16">
            <v>51.5</v>
          </cell>
        </row>
        <row r="17">
          <cell r="D17">
            <v>0.50204663632757562</v>
          </cell>
          <cell r="E17" t="str">
            <v xml:space="preserve">   Expected Payout/ac</v>
          </cell>
          <cell r="H17">
            <v>16.034330802599538</v>
          </cell>
          <cell r="K17">
            <v>447.2</v>
          </cell>
        </row>
        <row r="18">
          <cell r="H18">
            <v>0.25784759563400739</v>
          </cell>
          <cell r="K18">
            <v>169.21989434511229</v>
          </cell>
        </row>
        <row r="19">
          <cell r="A19" t="str">
            <v>Participate in MRIP? (y/n)</v>
          </cell>
          <cell r="D19" t="str">
            <v>Yes</v>
          </cell>
          <cell r="E19" t="str">
            <v xml:space="preserve">  Participate in CI? (y/n)</v>
          </cell>
          <cell r="H19" t="str">
            <v>Yes</v>
          </cell>
          <cell r="K19">
            <v>3.3021743548059335</v>
          </cell>
        </row>
        <row r="20">
          <cell r="A20" t="str">
            <v>=</v>
          </cell>
          <cell r="B20" t="str">
            <v>=</v>
          </cell>
          <cell r="C20" t="str">
            <v>=</v>
          </cell>
          <cell r="D20" t="str">
            <v>=</v>
          </cell>
          <cell r="E20" t="str">
            <v>=</v>
          </cell>
          <cell r="F20" t="str">
            <v>=</v>
          </cell>
          <cell r="G20" t="str">
            <v>=</v>
          </cell>
          <cell r="H20" t="str">
            <v>=</v>
          </cell>
          <cell r="K20">
            <v>135.42592000000002</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47.1</v>
          </cell>
        </row>
        <row r="24">
          <cell r="A24" t="str">
            <v xml:space="preserve"> Seed </v>
          </cell>
          <cell r="D24" t="str">
            <v>M-kernel</v>
          </cell>
          <cell r="E24">
            <v>30</v>
          </cell>
          <cell r="F24">
            <v>1.57</v>
          </cell>
          <cell r="G24">
            <v>47.1</v>
          </cell>
          <cell r="H24">
            <v>47.1</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A26" t="str">
            <v xml:space="preserve"> Fertilizer   #1</v>
          </cell>
          <cell r="C26" t="str">
            <v>11-52-0</v>
          </cell>
          <cell r="D26" t="str">
            <v>kg</v>
          </cell>
          <cell r="E26">
            <v>28</v>
          </cell>
          <cell r="F26">
            <v>0.44800000000000001</v>
          </cell>
          <cell r="G26">
            <v>12.544</v>
          </cell>
          <cell r="H26">
            <v>12.544</v>
          </cell>
          <cell r="K26">
            <v>90.409155698090515</v>
          </cell>
        </row>
        <row r="27">
          <cell r="A27" t="str">
            <v xml:space="preserve">              #2</v>
          </cell>
          <cell r="C27" t="str">
            <v>0-0-60</v>
          </cell>
          <cell r="D27" t="str">
            <v>kg</v>
          </cell>
          <cell r="E27">
            <v>32</v>
          </cell>
          <cell r="F27">
            <v>0.24</v>
          </cell>
          <cell r="G27">
            <v>7.68</v>
          </cell>
          <cell r="H27">
            <v>7.68</v>
          </cell>
          <cell r="K27">
            <v>1.3208697419223734</v>
          </cell>
        </row>
        <row r="28">
          <cell r="A28" t="str">
            <v xml:space="preserve">              #3</v>
          </cell>
          <cell r="C28" t="str">
            <v>28-0-0</v>
          </cell>
          <cell r="D28" t="str">
            <v>kg</v>
          </cell>
          <cell r="E28">
            <v>202</v>
          </cell>
          <cell r="F28">
            <v>0.22500000000000001</v>
          </cell>
          <cell r="G28">
            <v>45.45</v>
          </cell>
          <cell r="H28">
            <v>45.45</v>
          </cell>
          <cell r="K28">
            <v>0</v>
          </cell>
        </row>
        <row r="30">
          <cell r="D30" t="str">
            <v>Unit/Acre</v>
          </cell>
          <cell r="E30" t="str">
            <v>Number</v>
          </cell>
          <cell r="F30" t="str">
            <v>Cost/Unit</v>
          </cell>
          <cell r="G30" t="str">
            <v>$/Acre</v>
          </cell>
          <cell r="H30" t="str">
            <v>$/Year</v>
          </cell>
          <cell r="J30" t="str">
            <v>Grip prob factor (component of grip)</v>
          </cell>
          <cell r="K30">
            <v>0.99828299354838712</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v>
          </cell>
          <cell r="F32">
            <v>20</v>
          </cell>
          <cell r="G32">
            <v>20</v>
          </cell>
          <cell r="H32">
            <v>20</v>
          </cell>
          <cell r="J32" t="str">
            <v>C.I. prob factor (component of Crop Insurance)</v>
          </cell>
          <cell r="K32">
            <v>1.2162355</v>
          </cell>
        </row>
        <row r="33">
          <cell r="A33" t="str">
            <v xml:space="preserve">   Broadleaf Herbicides</v>
          </cell>
          <cell r="D33" t="str">
            <v>kg or l</v>
          </cell>
          <cell r="E33">
            <v>0.3</v>
          </cell>
          <cell r="F33">
            <v>28</v>
          </cell>
          <cell r="G33">
            <v>8.4</v>
          </cell>
          <cell r="H33">
            <v>8.4</v>
          </cell>
          <cell r="K33">
            <v>13.05</v>
          </cell>
        </row>
        <row r="34">
          <cell r="A34" t="str">
            <v xml:space="preserve">   Other Herbicides</v>
          </cell>
          <cell r="D34" t="str">
            <v>kg or l</v>
          </cell>
          <cell r="E34">
            <v>0</v>
          </cell>
          <cell r="F34">
            <v>0</v>
          </cell>
          <cell r="G34">
            <v>0</v>
          </cell>
          <cell r="H34">
            <v>0</v>
          </cell>
          <cell r="K34">
            <v>26.399808004532311</v>
          </cell>
        </row>
        <row r="35">
          <cell r="A35" t="str">
            <v xml:space="preserve"> Insecticides</v>
          </cell>
          <cell r="D35" t="str">
            <v>kg or l</v>
          </cell>
          <cell r="E35">
            <v>2.8</v>
          </cell>
          <cell r="F35">
            <v>5.4</v>
          </cell>
          <cell r="G35">
            <v>15.12</v>
          </cell>
          <cell r="H35">
            <v>15.12</v>
          </cell>
        </row>
        <row r="36">
          <cell r="A36" t="str">
            <v xml:space="preserve"> Fungicides</v>
          </cell>
          <cell r="D36" t="str">
            <v>kg or l</v>
          </cell>
          <cell r="E36">
            <v>0</v>
          </cell>
          <cell r="F36">
            <v>0</v>
          </cell>
          <cell r="G36">
            <v>0</v>
          </cell>
          <cell r="H36">
            <v>0</v>
          </cell>
        </row>
        <row r="37">
          <cell r="A37" t="str">
            <v xml:space="preserve"> Crop Insurance</v>
          </cell>
          <cell r="D37" t="str">
            <v>Insurance</v>
          </cell>
          <cell r="E37">
            <v>1</v>
          </cell>
          <cell r="F37">
            <v>13.05</v>
          </cell>
          <cell r="G37">
            <v>13.05</v>
          </cell>
          <cell r="H37">
            <v>13.05</v>
          </cell>
        </row>
        <row r="38">
          <cell r="A38" t="str">
            <v xml:space="preserve"> Market Revenue Insurance</v>
          </cell>
          <cell r="D38" t="str">
            <v>Insurance</v>
          </cell>
          <cell r="E38">
            <v>1</v>
          </cell>
          <cell r="F38">
            <v>13.349808004532308</v>
          </cell>
          <cell r="G38">
            <v>13.349808004532308</v>
          </cell>
          <cell r="H38">
            <v>13.349808004532308</v>
          </cell>
        </row>
        <row r="39">
          <cell r="A39" t="str">
            <v xml:space="preserve"> Custom Work  #1</v>
          </cell>
          <cell r="C39" t="str">
            <v xml:space="preserve">     Combine</v>
          </cell>
          <cell r="E39">
            <v>0</v>
          </cell>
          <cell r="F39">
            <v>31</v>
          </cell>
          <cell r="G39">
            <v>0</v>
          </cell>
          <cell r="H39">
            <v>0</v>
          </cell>
        </row>
        <row r="40">
          <cell r="A40" t="str">
            <v xml:space="preserve">              #2</v>
          </cell>
          <cell r="C40" t="str">
            <v xml:space="preserve">     Nitr. Applic.</v>
          </cell>
          <cell r="E40">
            <v>0</v>
          </cell>
          <cell r="F40">
            <v>8</v>
          </cell>
          <cell r="G40">
            <v>0</v>
          </cell>
          <cell r="H40">
            <v>0</v>
          </cell>
        </row>
        <row r="41">
          <cell r="A41" t="str">
            <v xml:space="preserve"> Drying 8 Points</v>
          </cell>
          <cell r="D41" t="str">
            <v>tonnes</v>
          </cell>
          <cell r="E41">
            <v>3.632391790286527</v>
          </cell>
          <cell r="F41">
            <v>11.84</v>
          </cell>
          <cell r="G41">
            <v>43.007518796992478</v>
          </cell>
          <cell r="H41">
            <v>43.007518796992478</v>
          </cell>
        </row>
        <row r="42">
          <cell r="A42" t="str">
            <v xml:space="preserve"> Storage</v>
          </cell>
          <cell r="D42" t="str">
            <v>tonnes</v>
          </cell>
          <cell r="E42">
            <v>0</v>
          </cell>
          <cell r="F42">
            <v>0</v>
          </cell>
          <cell r="G42">
            <v>0</v>
          </cell>
          <cell r="H42">
            <v>0</v>
          </cell>
        </row>
        <row r="43">
          <cell r="A43" t="str">
            <v xml:space="preserve"> Trucking</v>
          </cell>
          <cell r="D43" t="str">
            <v>tonnes</v>
          </cell>
          <cell r="E43">
            <v>3.3021743548059335</v>
          </cell>
          <cell r="F43">
            <v>6.36</v>
          </cell>
          <cell r="G43">
            <v>21.001828896565737</v>
          </cell>
          <cell r="H43">
            <v>21.001828896565737</v>
          </cell>
        </row>
        <row r="44">
          <cell r="A44" t="str">
            <v xml:space="preserve"> Marketing Fees</v>
          </cell>
          <cell r="D44" t="str">
            <v>tonnes</v>
          </cell>
          <cell r="E44">
            <v>3.3021743548059335</v>
          </cell>
          <cell r="F44">
            <v>0.4</v>
          </cell>
          <cell r="G44">
            <v>1.3208697419223734</v>
          </cell>
          <cell r="H44">
            <v>1.3208697419223734</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14</v>
          </cell>
          <cell r="E53">
            <v>0</v>
          </cell>
          <cell r="G53">
            <v>14</v>
          </cell>
          <cell r="H53">
            <v>14</v>
          </cell>
          <cell r="K53" t="str">
            <v>Wfarm!L8</v>
          </cell>
        </row>
        <row r="54">
          <cell r="A54" t="str">
            <v xml:space="preserve"> Mach. Repair &amp; Maint.</v>
          </cell>
          <cell r="D54">
            <v>19</v>
          </cell>
          <cell r="E54">
            <v>0</v>
          </cell>
          <cell r="G54">
            <v>19</v>
          </cell>
          <cell r="H54">
            <v>19</v>
          </cell>
        </row>
        <row r="55">
          <cell r="A55" t="str">
            <v xml:space="preserve"> Bldg. Repair &amp; Maint.</v>
          </cell>
          <cell r="D55">
            <v>8</v>
          </cell>
          <cell r="E55">
            <v>0</v>
          </cell>
          <cell r="G55">
            <v>8</v>
          </cell>
          <cell r="H55">
            <v>8</v>
          </cell>
        </row>
        <row r="56">
          <cell r="A56" t="str">
            <v xml:space="preserve"> Rent and Labour</v>
          </cell>
          <cell r="D56">
            <v>16</v>
          </cell>
          <cell r="E56">
            <v>0</v>
          </cell>
          <cell r="G56">
            <v>16</v>
          </cell>
          <cell r="H56">
            <v>16</v>
          </cell>
        </row>
        <row r="57">
          <cell r="A57" t="str">
            <v xml:space="preserve"> General Variable Costs</v>
          </cell>
          <cell r="D57">
            <v>15</v>
          </cell>
          <cell r="E57">
            <v>0</v>
          </cell>
          <cell r="G57">
            <v>15</v>
          </cell>
          <cell r="H57">
            <v>15</v>
          </cell>
          <cell r="J57">
            <v>11.968553072060994</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11.968553072060994</v>
          </cell>
          <cell r="H59">
            <v>11.968553072060994</v>
          </cell>
        </row>
        <row r="60">
          <cell r="G60" t="str">
            <v xml:space="preserve">  ------</v>
          </cell>
          <cell r="H60" t="str">
            <v xml:space="preserve">  ------</v>
          </cell>
        </row>
        <row r="61">
          <cell r="A61" t="str">
            <v>Total Variable Costs</v>
          </cell>
          <cell r="G61">
            <v>333.50507851207396</v>
          </cell>
          <cell r="H61">
            <v>333.50507851207396</v>
          </cell>
        </row>
        <row r="63">
          <cell r="D63" t="str">
            <v>Typical</v>
          </cell>
          <cell r="E63" t="str">
            <v xml:space="preserve"> Enterprise</v>
          </cell>
          <cell r="K63" t="str">
            <v>Wfarm!K4</v>
          </cell>
        </row>
        <row r="64">
          <cell r="A64" t="str">
            <v>Fixed Costs:</v>
          </cell>
          <cell r="D64" t="str">
            <v xml:space="preserve"> $/Acre</v>
          </cell>
          <cell r="E64" t="str">
            <v xml:space="preserve"> $ Allocated</v>
          </cell>
          <cell r="G64" t="str">
            <v>$/Acre</v>
          </cell>
          <cell r="H64" t="str">
            <v>$/Year</v>
          </cell>
          <cell r="K64" t="str">
            <v>Wfarm!K5</v>
          </cell>
        </row>
        <row r="65">
          <cell r="A65" t="str">
            <v xml:space="preserve"> Depreciation</v>
          </cell>
          <cell r="D65">
            <v>29</v>
          </cell>
          <cell r="E65">
            <v>0</v>
          </cell>
          <cell r="G65">
            <v>29</v>
          </cell>
          <cell r="H65">
            <v>29</v>
          </cell>
          <cell r="K65" t="str">
            <v>Wfarm!K6</v>
          </cell>
        </row>
        <row r="66">
          <cell r="A66" t="str">
            <v xml:space="preserve"> Interest on Term Loans</v>
          </cell>
          <cell r="D66">
            <v>17.5</v>
          </cell>
          <cell r="E66">
            <v>0</v>
          </cell>
          <cell r="G66">
            <v>17.5</v>
          </cell>
          <cell r="H66">
            <v>17.5</v>
          </cell>
          <cell r="K66" t="str">
            <v>Wfarm!K7</v>
          </cell>
        </row>
        <row r="67">
          <cell r="A67" t="str">
            <v xml:space="preserve"> Long-term Leases</v>
          </cell>
          <cell r="D67">
            <v>0</v>
          </cell>
          <cell r="E67">
            <v>0</v>
          </cell>
          <cell r="G67">
            <v>0</v>
          </cell>
          <cell r="H67">
            <v>0</v>
          </cell>
        </row>
        <row r="68">
          <cell r="A68" t="str">
            <v xml:space="preserve"> General Fixed Costs</v>
          </cell>
          <cell r="D68">
            <v>5</v>
          </cell>
          <cell r="E68">
            <v>0</v>
          </cell>
          <cell r="G68">
            <v>5</v>
          </cell>
          <cell r="H68">
            <v>5</v>
          </cell>
        </row>
        <row r="69">
          <cell r="G69" t="str">
            <v xml:space="preserve">  ------</v>
          </cell>
          <cell r="H69" t="str">
            <v xml:space="preserve">  ------</v>
          </cell>
        </row>
        <row r="70">
          <cell r="A70" t="str">
            <v>Total Fixed Costs</v>
          </cell>
          <cell r="G70">
            <v>51.5</v>
          </cell>
          <cell r="H70">
            <v>51.5</v>
          </cell>
        </row>
        <row r="72">
          <cell r="A72" t="str">
            <v>Revenues:</v>
          </cell>
          <cell r="E72" t="str">
            <v>$/Acre</v>
          </cell>
          <cell r="F72" t="str">
            <v>$/Year</v>
          </cell>
        </row>
        <row r="73">
          <cell r="A73" t="str">
            <v>Total Expected Revenues</v>
          </cell>
          <cell r="E73">
            <v>447.2</v>
          </cell>
          <cell r="F73">
            <v>447.2</v>
          </cell>
        </row>
        <row r="74">
          <cell r="A74" t="str">
            <v xml:space="preserve">    add: Expected Insurance Revenues</v>
          </cell>
          <cell r="E74">
            <v>56.488294452697446</v>
          </cell>
          <cell r="F74">
            <v>56.488294452697446</v>
          </cell>
        </row>
        <row r="75">
          <cell r="A75" t="str">
            <v xml:space="preserve">    less: Variable Costs</v>
          </cell>
          <cell r="E75">
            <v>333.50507851207396</v>
          </cell>
          <cell r="F75">
            <v>333.50507851207396</v>
          </cell>
        </row>
        <row r="76">
          <cell r="E76" t="str">
            <v xml:space="preserve">  ------</v>
          </cell>
          <cell r="F76" t="str">
            <v xml:space="preserve">  ------</v>
          </cell>
        </row>
        <row r="77">
          <cell r="A77" t="str">
            <v>Expected Operating Margin</v>
          </cell>
          <cell r="E77">
            <v>170.18321594062348</v>
          </cell>
          <cell r="F77">
            <v>170.18321594062348</v>
          </cell>
        </row>
        <row r="78">
          <cell r="A78" t="str">
            <v xml:space="preserve">    less: Fixed Costs</v>
          </cell>
          <cell r="E78">
            <v>51.5</v>
          </cell>
          <cell r="F78">
            <v>51.5</v>
          </cell>
        </row>
        <row r="79">
          <cell r="E79" t="str">
            <v xml:space="preserve">  ------</v>
          </cell>
          <cell r="F79" t="str">
            <v xml:space="preserve">  ------</v>
          </cell>
        </row>
        <row r="80">
          <cell r="A80" t="str">
            <v>Expected Net Revenue</v>
          </cell>
          <cell r="E80">
            <v>118.68321594062348</v>
          </cell>
          <cell r="F80">
            <v>118.68321594062348</v>
          </cell>
        </row>
        <row r="82">
          <cell r="A82" t="str">
            <v xml:space="preserve">         Break-even $/bu to cover:</v>
          </cell>
          <cell r="E82" t="str">
            <v>Variable Costs</v>
          </cell>
          <cell r="G82">
            <v>2.5654236808621076</v>
          </cell>
        </row>
        <row r="83">
          <cell r="E83" t="str">
            <v>Fixed Costs</v>
          </cell>
          <cell r="G83">
            <v>0.39615384615384613</v>
          </cell>
        </row>
        <row r="84">
          <cell r="G84" t="str">
            <v xml:space="preserve">  ------</v>
          </cell>
        </row>
        <row r="85">
          <cell r="E85" t="str">
            <v>Total Costs</v>
          </cell>
          <cell r="G85">
            <v>2.9615775270159537</v>
          </cell>
        </row>
        <row r="86">
          <cell r="A86" t="str">
            <v>=</v>
          </cell>
          <cell r="B86" t="str">
            <v>=</v>
          </cell>
          <cell r="C86" t="str">
            <v>=</v>
          </cell>
          <cell r="D86" t="str">
            <v>=</v>
          </cell>
          <cell r="E86" t="str">
            <v>=</v>
          </cell>
          <cell r="F86" t="str">
            <v>=</v>
          </cell>
          <cell r="G86" t="str">
            <v>=</v>
          </cell>
          <cell r="H86" t="str">
            <v>=</v>
          </cell>
        </row>
        <row r="87">
          <cell r="B87" t="str">
            <v>Chance of at least breaking even          ==&gt;</v>
          </cell>
          <cell r="G87">
            <v>0.75845931926053156</v>
          </cell>
        </row>
        <row r="88">
          <cell r="B88" t="str">
            <v>Chance of at least</v>
          </cell>
          <cell r="D88">
            <v>0</v>
          </cell>
          <cell r="E88" t="str">
            <v>$/acre return  ==&gt;</v>
          </cell>
          <cell r="G88">
            <v>0.75845931926053156</v>
          </cell>
          <cell r="I88">
            <v>118.68321594062348</v>
          </cell>
        </row>
        <row r="89">
          <cell r="B89" t="str">
            <v>Coefficient of variation                  ==&gt;</v>
          </cell>
          <cell r="G89">
            <v>0.37839869039604718</v>
          </cell>
          <cell r="I89">
            <v>45.173092999999994</v>
          </cell>
        </row>
        <row r="90">
          <cell r="H90" t="str">
            <v>mn</v>
          </cell>
          <cell r="I90">
            <v>0.48675626999999977</v>
          </cell>
        </row>
        <row r="91">
          <cell r="C91" t="str">
            <v>Returns $/acre</v>
          </cell>
          <cell r="E91" t="str">
            <v>Chances of at least</v>
          </cell>
          <cell r="H91" t="str">
            <v>ystd</v>
          </cell>
          <cell r="I91">
            <v>169.21989434511229</v>
          </cell>
        </row>
        <row r="92">
          <cell r="E92" t="str">
            <v>this return per acre</v>
          </cell>
          <cell r="H92" t="str">
            <v>pstd</v>
          </cell>
        </row>
        <row r="93">
          <cell r="C93">
            <v>282.82651345538238</v>
          </cell>
          <cell r="E93" t="str">
            <v xml:space="preserve">       17 %</v>
          </cell>
          <cell r="I93">
            <v>0.70135498193006351</v>
          </cell>
          <cell r="J93">
            <v>0.70135498193006351</v>
          </cell>
        </row>
        <row r="94">
          <cell r="C94">
            <v>191.44777050902178</v>
          </cell>
          <cell r="E94" t="str">
            <v xml:space="preserve">       33 %</v>
          </cell>
          <cell r="H94" t="str">
            <v>z</v>
          </cell>
          <cell r="I94">
            <v>0.86024228508355027</v>
          </cell>
          <cell r="J94">
            <v>0.86024228508355027</v>
          </cell>
        </row>
        <row r="95">
          <cell r="C95">
            <v>118.68321594062348</v>
          </cell>
          <cell r="E95" t="str">
            <v xml:space="preserve">       50 %</v>
          </cell>
          <cell r="H95" t="str">
            <v>v1</v>
          </cell>
          <cell r="I95">
            <v>0.31195761896705337</v>
          </cell>
          <cell r="J95">
            <v>0.31195761896705337</v>
          </cell>
        </row>
        <row r="96">
          <cell r="C96">
            <v>45.918661372225202</v>
          </cell>
          <cell r="E96" t="str">
            <v xml:space="preserve">       67 %</v>
          </cell>
          <cell r="H96" t="str">
            <v>v2</v>
          </cell>
          <cell r="I96">
            <v>0.24154068073946844</v>
          </cell>
          <cell r="J96">
            <v>0.24154068073946844</v>
          </cell>
        </row>
        <row r="97">
          <cell r="C97">
            <v>-45.460081574135444</v>
          </cell>
          <cell r="E97" t="str">
            <v xml:space="preserve">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OAT"/>
    </sheetNames>
    <sheetDataSet>
      <sheetData sheetId="0" refreshError="1">
        <row r="1">
          <cell r="A1" t="str">
            <v>Dgoat 1</v>
          </cell>
          <cell r="C1" t="str">
            <v>DAIRY GOAT HERD ENTERPRISE BUDGET</v>
          </cell>
          <cell r="G1" t="str">
            <v>Revised:May '98</v>
          </cell>
        </row>
        <row r="2">
          <cell r="A2">
            <v>302</v>
          </cell>
          <cell r="F2" t="str">
            <v>Profit Per Doe:</v>
          </cell>
          <cell r="H2" t="e">
            <v>#REF!</v>
          </cell>
        </row>
        <row r="3">
          <cell r="G3" t="str">
            <v>Revised: June 94</v>
          </cell>
        </row>
        <row r="4">
          <cell r="A4" t="str">
            <v>Number of Milking Does</v>
          </cell>
          <cell r="D4" t="str">
            <v>hd</v>
          </cell>
          <cell r="E4">
            <v>300</v>
          </cell>
        </row>
        <row r="5">
          <cell r="A5" t="str">
            <v>Percent Does Culled</v>
          </cell>
          <cell r="D5" t="str">
            <v>%</v>
          </cell>
          <cell r="E5">
            <v>20</v>
          </cell>
        </row>
        <row r="6">
          <cell r="A6" t="str">
            <v>Milking Doe Death Loss</v>
          </cell>
          <cell r="D6" t="str">
            <v>%</v>
          </cell>
          <cell r="E6">
            <v>2</v>
          </cell>
        </row>
        <row r="7">
          <cell r="A7" t="str">
            <v>Weight of Cull Does</v>
          </cell>
          <cell r="D7" t="str">
            <v>lbs</v>
          </cell>
          <cell r="E7">
            <v>135</v>
          </cell>
        </row>
        <row r="8">
          <cell r="A8" t="str">
            <v>Price of Cull Does</v>
          </cell>
          <cell r="D8" t="str">
            <v>c/lb</v>
          </cell>
          <cell r="E8">
            <v>50</v>
          </cell>
        </row>
        <row r="9">
          <cell r="A9" t="str">
            <v>Replacement Does Raised</v>
          </cell>
          <cell r="D9" t="str">
            <v>hd</v>
          </cell>
          <cell r="E9">
            <v>66</v>
          </cell>
        </row>
        <row r="10">
          <cell r="A10" t="str">
            <v>Number of Breeding Bucks</v>
          </cell>
          <cell r="D10" t="str">
            <v>hd</v>
          </cell>
          <cell r="E10">
            <v>6</v>
          </cell>
        </row>
        <row r="11">
          <cell r="A11" t="str">
            <v>Weight of Cull Bucks</v>
          </cell>
          <cell r="D11" t="str">
            <v>lbs</v>
          </cell>
          <cell r="E11">
            <v>225</v>
          </cell>
        </row>
        <row r="12">
          <cell r="A12" t="str">
            <v>Price of Cull Bucks</v>
          </cell>
          <cell r="D12" t="str">
            <v>c/lb</v>
          </cell>
          <cell r="E12">
            <v>55</v>
          </cell>
        </row>
        <row r="13">
          <cell r="A13" t="str">
            <v>Number of Bucks Culled</v>
          </cell>
          <cell r="D13" t="str">
            <v>hd</v>
          </cell>
          <cell r="E13">
            <v>2</v>
          </cell>
        </row>
        <row r="14">
          <cell r="K14">
            <v>0</v>
          </cell>
        </row>
        <row r="15">
          <cell r="E15" t="str">
            <v>Opt.</v>
          </cell>
          <cell r="F15" t="str">
            <v xml:space="preserve"> Expected</v>
          </cell>
          <cell r="G15" t="str">
            <v>Pess.</v>
          </cell>
          <cell r="K15">
            <v>107476</v>
          </cell>
        </row>
        <row r="16">
          <cell r="A16" t="str">
            <v>Percent Kid Crop</v>
          </cell>
          <cell r="D16" t="str">
            <v>%</v>
          </cell>
          <cell r="E16">
            <v>200</v>
          </cell>
          <cell r="F16">
            <v>180</v>
          </cell>
          <cell r="G16">
            <v>150</v>
          </cell>
          <cell r="K16" t="e">
            <v>#REF!</v>
          </cell>
        </row>
        <row r="17">
          <cell r="A17" t="str">
            <v>Percent Kid Mortality</v>
          </cell>
          <cell r="D17" t="str">
            <v>%</v>
          </cell>
          <cell r="E17">
            <v>5</v>
          </cell>
          <cell r="F17">
            <v>10</v>
          </cell>
          <cell r="G17">
            <v>15</v>
          </cell>
          <cell r="K17">
            <v>154447.5</v>
          </cell>
        </row>
        <row r="18">
          <cell r="A18" t="str">
            <v>Marketable Kid Crop</v>
          </cell>
          <cell r="D18" t="str">
            <v>hd</v>
          </cell>
          <cell r="E18">
            <v>570</v>
          </cell>
          <cell r="F18">
            <v>486</v>
          </cell>
          <cell r="G18">
            <v>383</v>
          </cell>
          <cell r="K18">
            <v>47035.833680291034</v>
          </cell>
        </row>
        <row r="19">
          <cell r="A19" t="str">
            <v>Selling Price of Kids</v>
          </cell>
          <cell r="D19" t="str">
            <v>$/hd</v>
          </cell>
          <cell r="E19">
            <v>35</v>
          </cell>
          <cell r="F19">
            <v>20</v>
          </cell>
          <cell r="G19">
            <v>15</v>
          </cell>
        </row>
        <row r="20">
          <cell r="A20" t="str">
            <v>Milk Yield per Doe</v>
          </cell>
          <cell r="D20" t="str">
            <v>l/hd</v>
          </cell>
          <cell r="E20">
            <v>800</v>
          </cell>
          <cell r="F20">
            <v>675</v>
          </cell>
          <cell r="G20">
            <v>500</v>
          </cell>
          <cell r="K20" t="str">
            <v>Tran!D3..G14</v>
          </cell>
        </row>
        <row r="21">
          <cell r="A21" t="str">
            <v>Price of Milk</v>
          </cell>
          <cell r="D21" t="str">
            <v>$/hl</v>
          </cell>
          <cell r="E21">
            <v>80</v>
          </cell>
          <cell r="F21">
            <v>70</v>
          </cell>
          <cell r="G21">
            <v>50</v>
          </cell>
          <cell r="K21" t="str">
            <v>Allo!C3..J14</v>
          </cell>
        </row>
        <row r="22">
          <cell r="K22">
            <v>300</v>
          </cell>
        </row>
        <row r="23">
          <cell r="A23" t="str">
            <v>Expected Revenues:</v>
          </cell>
          <cell r="D23" t="str">
            <v>Unit</v>
          </cell>
          <cell r="E23" t="str">
            <v>Number</v>
          </cell>
          <cell r="F23" t="str">
            <v>$/Unit</v>
          </cell>
          <cell r="H23" t="str">
            <v>$/Year</v>
          </cell>
          <cell r="K23">
            <v>600</v>
          </cell>
        </row>
        <row r="24">
          <cell r="A24" t="str">
            <v xml:space="preserve"> Breeding Doe Kid Sales </v>
          </cell>
          <cell r="D24" t="str">
            <v>hd</v>
          </cell>
          <cell r="E24">
            <v>0</v>
          </cell>
          <cell r="F24">
            <v>150</v>
          </cell>
          <cell r="H24">
            <v>0</v>
          </cell>
          <cell r="K24">
            <v>32040</v>
          </cell>
        </row>
        <row r="25">
          <cell r="A25" t="str">
            <v xml:space="preserve"> Breeding Buck Kid Sales</v>
          </cell>
          <cell r="D25" t="str">
            <v>hd</v>
          </cell>
          <cell r="E25">
            <v>0</v>
          </cell>
          <cell r="F25">
            <v>250</v>
          </cell>
          <cell r="H25">
            <v>0</v>
          </cell>
          <cell r="K25">
            <v>4500</v>
          </cell>
        </row>
        <row r="26">
          <cell r="A26" t="str">
            <v xml:space="preserve"> Other Breeding Stock Sales</v>
          </cell>
          <cell r="D26" t="str">
            <v>hd</v>
          </cell>
          <cell r="E26">
            <v>0</v>
          </cell>
          <cell r="F26">
            <v>0</v>
          </cell>
          <cell r="H26">
            <v>0</v>
          </cell>
          <cell r="K26">
            <v>12000</v>
          </cell>
        </row>
        <row r="27">
          <cell r="A27" t="str">
            <v xml:space="preserve"> Cull Doe Sales</v>
          </cell>
          <cell r="D27" t="str">
            <v>hd</v>
          </cell>
          <cell r="E27">
            <v>60</v>
          </cell>
          <cell r="F27">
            <v>67.5</v>
          </cell>
          <cell r="H27">
            <v>4050</v>
          </cell>
          <cell r="K27">
            <v>15600</v>
          </cell>
        </row>
        <row r="28">
          <cell r="A28" t="str">
            <v xml:space="preserve"> Cull Buck Sales</v>
          </cell>
          <cell r="D28" t="str">
            <v>hd</v>
          </cell>
          <cell r="E28">
            <v>2</v>
          </cell>
          <cell r="F28">
            <v>123.75</v>
          </cell>
          <cell r="H28">
            <v>247.5</v>
          </cell>
          <cell r="K28">
            <v>0</v>
          </cell>
        </row>
        <row r="29">
          <cell r="A29" t="str">
            <v xml:space="preserve"> Market Kid Sales</v>
          </cell>
          <cell r="D29" t="str">
            <v>hd</v>
          </cell>
          <cell r="E29">
            <v>420</v>
          </cell>
          <cell r="F29">
            <v>20</v>
          </cell>
          <cell r="H29">
            <v>8400</v>
          </cell>
        </row>
        <row r="30">
          <cell r="A30" t="str">
            <v xml:space="preserve"> Milk Sales </v>
          </cell>
          <cell r="D30" t="str">
            <v>hl</v>
          </cell>
          <cell r="E30">
            <v>2025</v>
          </cell>
          <cell r="F30">
            <v>70</v>
          </cell>
          <cell r="H30">
            <v>141750</v>
          </cell>
        </row>
        <row r="31">
          <cell r="A31" t="str">
            <v>-</v>
          </cell>
          <cell r="B31" t="str">
            <v>-</v>
          </cell>
          <cell r="H31" t="str">
            <v>-</v>
          </cell>
        </row>
        <row r="32">
          <cell r="A32" t="str">
            <v>Expected Total Revenue</v>
          </cell>
          <cell r="H32">
            <v>154447.5</v>
          </cell>
        </row>
        <row r="34">
          <cell r="A34" t="str">
            <v>=</v>
          </cell>
          <cell r="B34" t="str">
            <v>=</v>
          </cell>
          <cell r="C34" t="str">
            <v>=</v>
          </cell>
          <cell r="D34" t="str">
            <v>=</v>
          </cell>
          <cell r="E34" t="str">
            <v>=</v>
          </cell>
          <cell r="F34" t="str">
            <v>=</v>
          </cell>
          <cell r="G34" t="str">
            <v>=</v>
          </cell>
          <cell r="H34" t="str">
            <v>=</v>
          </cell>
        </row>
        <row r="35">
          <cell r="A35" t="str">
            <v>Number of Does to Base Variable Costs on ==&gt;</v>
          </cell>
          <cell r="F35">
            <v>300</v>
          </cell>
          <cell r="G35" t="str">
            <v>**</v>
          </cell>
        </row>
        <row r="36">
          <cell r="A36" t="str">
            <v>**(Enter the herd size used to determine variable costs)</v>
          </cell>
        </row>
        <row r="38">
          <cell r="A38" t="str">
            <v>EXPENSES</v>
          </cell>
          <cell r="E38" t="str">
            <v>Typical</v>
          </cell>
          <cell r="F38" t="str">
            <v>$/Year</v>
          </cell>
          <cell r="H38" t="str">
            <v>$/Year</v>
          </cell>
        </row>
        <row r="39">
          <cell r="E39" t="str">
            <v>$/Doe</v>
          </cell>
          <cell r="F39" t="str">
            <v>300 Does</v>
          </cell>
          <cell r="G39" t="str">
            <v>$/Doe</v>
          </cell>
          <cell r="H39" t="str">
            <v xml:space="preserve"> 300 Does</v>
          </cell>
        </row>
        <row r="40">
          <cell r="A40" t="str">
            <v xml:space="preserve"> Variable Costs:</v>
          </cell>
          <cell r="E40" t="str">
            <v>--------</v>
          </cell>
          <cell r="F40" t="str">
            <v>--------</v>
          </cell>
          <cell r="G40" t="str">
            <v xml:space="preserve">   -----</v>
          </cell>
          <cell r="H40" t="str">
            <v xml:space="preserve"> --------</v>
          </cell>
        </row>
        <row r="41">
          <cell r="A41" t="str">
            <v>Purchased Feed</v>
          </cell>
        </row>
        <row r="42">
          <cell r="A42" t="str">
            <v xml:space="preserve">  Hay  #1</v>
          </cell>
          <cell r="B42" t="str">
            <v xml:space="preserve"> </v>
          </cell>
          <cell r="E42">
            <v>0</v>
          </cell>
          <cell r="F42">
            <v>0</v>
          </cell>
          <cell r="G42">
            <v>0</v>
          </cell>
          <cell r="H42">
            <v>0</v>
          </cell>
        </row>
        <row r="43">
          <cell r="A43" t="str">
            <v xml:space="preserve">       #2</v>
          </cell>
          <cell r="B43" t="str">
            <v xml:space="preserve"> </v>
          </cell>
          <cell r="E43">
            <v>0</v>
          </cell>
          <cell r="F43">
            <v>0</v>
          </cell>
          <cell r="G43">
            <v>0</v>
          </cell>
          <cell r="H43">
            <v>0</v>
          </cell>
        </row>
        <row r="44">
          <cell r="A44" t="str">
            <v xml:space="preserve">  Grain#1</v>
          </cell>
          <cell r="B44" t="str">
            <v xml:space="preserve"> </v>
          </cell>
          <cell r="E44">
            <v>0</v>
          </cell>
          <cell r="F44">
            <v>0</v>
          </cell>
          <cell r="G44">
            <v>0</v>
          </cell>
          <cell r="H44">
            <v>0</v>
          </cell>
        </row>
        <row r="45">
          <cell r="A45" t="str">
            <v xml:space="preserve">       #2</v>
          </cell>
          <cell r="B45" t="str">
            <v xml:space="preserve"> </v>
          </cell>
          <cell r="E45">
            <v>0</v>
          </cell>
          <cell r="F45">
            <v>0</v>
          </cell>
          <cell r="G45">
            <v>0</v>
          </cell>
          <cell r="H45">
            <v>0</v>
          </cell>
        </row>
        <row r="46">
          <cell r="A46" t="str">
            <v xml:space="preserve">  Protein Supplement</v>
          </cell>
          <cell r="E46">
            <v>6</v>
          </cell>
          <cell r="F46">
            <v>2250</v>
          </cell>
          <cell r="G46">
            <v>7.5</v>
          </cell>
          <cell r="H46">
            <v>2250</v>
          </cell>
        </row>
        <row r="47">
          <cell r="A47" t="str">
            <v xml:space="preserve">  Salt &amp; Mineral</v>
          </cell>
          <cell r="E47">
            <v>5.3</v>
          </cell>
          <cell r="F47">
            <v>1590</v>
          </cell>
          <cell r="G47">
            <v>5.3</v>
          </cell>
          <cell r="H47">
            <v>1590</v>
          </cell>
        </row>
        <row r="48">
          <cell r="A48" t="str">
            <v xml:space="preserve">  Prepared Feeds</v>
          </cell>
          <cell r="E48">
            <v>100</v>
          </cell>
          <cell r="F48">
            <v>28200</v>
          </cell>
          <cell r="G48">
            <v>94</v>
          </cell>
          <cell r="H48">
            <v>28200</v>
          </cell>
        </row>
        <row r="51">
          <cell r="A51" t="str">
            <v>Homegrown Feed: (from transfer table)</v>
          </cell>
        </row>
        <row r="52">
          <cell r="A52" t="str">
            <v xml:space="preserve"> Crop Transfers (based on </v>
          </cell>
          <cell r="D52">
            <v>300</v>
          </cell>
          <cell r="E52" t="str">
            <v>Does)</v>
          </cell>
          <cell r="G52">
            <v>0</v>
          </cell>
          <cell r="H52">
            <v>0</v>
          </cell>
        </row>
        <row r="54">
          <cell r="E54" t="str">
            <v>Typical</v>
          </cell>
          <cell r="F54" t="str">
            <v>$/Year</v>
          </cell>
          <cell r="H54" t="str">
            <v>$/Year</v>
          </cell>
        </row>
        <row r="55">
          <cell r="E55" t="str">
            <v>$/Doe</v>
          </cell>
          <cell r="F55" t="str">
            <v>300 Does</v>
          </cell>
          <cell r="G55" t="str">
            <v>$/Doe</v>
          </cell>
          <cell r="H55" t="str">
            <v xml:space="preserve"> 300 Does</v>
          </cell>
        </row>
        <row r="56">
          <cell r="E56" t="str">
            <v>--------</v>
          </cell>
          <cell r="F56" t="str">
            <v>--------</v>
          </cell>
          <cell r="G56" t="str">
            <v xml:space="preserve">   -----</v>
          </cell>
          <cell r="H56" t="str">
            <v xml:space="preserve"> --------</v>
          </cell>
        </row>
        <row r="57">
          <cell r="B57" t="str">
            <v xml:space="preserve"> *** (Input ONLY if NOT using Crop Transfer table) ***</v>
          </cell>
        </row>
        <row r="58">
          <cell r="A58" t="str">
            <v>Pasture#1</v>
          </cell>
          <cell r="B58" t="str">
            <v xml:space="preserve"> Improved</v>
          </cell>
          <cell r="E58">
            <v>0</v>
          </cell>
          <cell r="F58">
            <v>0</v>
          </cell>
          <cell r="G58">
            <v>0</v>
          </cell>
          <cell r="H58">
            <v>0</v>
          </cell>
        </row>
        <row r="59">
          <cell r="A59" t="str">
            <v xml:space="preserve">       #2</v>
          </cell>
          <cell r="B59" t="str">
            <v xml:space="preserve"> Unimpoved</v>
          </cell>
          <cell r="E59">
            <v>0</v>
          </cell>
          <cell r="F59">
            <v>0</v>
          </cell>
          <cell r="G59">
            <v>0</v>
          </cell>
          <cell r="H59">
            <v>0</v>
          </cell>
        </row>
        <row r="60">
          <cell r="A60" t="str">
            <v xml:space="preserve">       #3</v>
          </cell>
          <cell r="B60" t="str">
            <v xml:space="preserve"> </v>
          </cell>
          <cell r="E60">
            <v>0</v>
          </cell>
          <cell r="F60">
            <v>0</v>
          </cell>
          <cell r="G60">
            <v>0</v>
          </cell>
          <cell r="H60">
            <v>0</v>
          </cell>
        </row>
        <row r="61">
          <cell r="A61" t="str">
            <v>Hay    #1</v>
          </cell>
          <cell r="B61" t="str">
            <v xml:space="preserve"> </v>
          </cell>
          <cell r="E61">
            <v>15</v>
          </cell>
          <cell r="F61">
            <v>4200</v>
          </cell>
          <cell r="G61">
            <v>14</v>
          </cell>
          <cell r="H61">
            <v>4200</v>
          </cell>
        </row>
        <row r="62">
          <cell r="A62" t="str">
            <v xml:space="preserve">       #2</v>
          </cell>
          <cell r="B62" t="str">
            <v xml:space="preserve"> </v>
          </cell>
          <cell r="E62">
            <v>32</v>
          </cell>
          <cell r="F62">
            <v>9000</v>
          </cell>
          <cell r="G62">
            <v>30</v>
          </cell>
          <cell r="H62">
            <v>9000</v>
          </cell>
        </row>
        <row r="63">
          <cell r="A63" t="str">
            <v>Grain  #1</v>
          </cell>
          <cell r="B63" t="str">
            <v xml:space="preserve"> </v>
          </cell>
          <cell r="E63">
            <v>0</v>
          </cell>
          <cell r="F63">
            <v>0</v>
          </cell>
          <cell r="G63">
            <v>0</v>
          </cell>
          <cell r="H63">
            <v>0</v>
          </cell>
        </row>
        <row r="64">
          <cell r="A64" t="str">
            <v xml:space="preserve">       #2</v>
          </cell>
          <cell r="B64" t="str">
            <v xml:space="preserve"> </v>
          </cell>
          <cell r="E64">
            <v>0</v>
          </cell>
          <cell r="F64">
            <v>0</v>
          </cell>
          <cell r="G64">
            <v>0</v>
          </cell>
          <cell r="H64">
            <v>0</v>
          </cell>
        </row>
        <row r="65">
          <cell r="G65" t="str">
            <v>-</v>
          </cell>
          <cell r="H65" t="str">
            <v xml:space="preserve">  -------</v>
          </cell>
        </row>
        <row r="66">
          <cell r="A66" t="str">
            <v>Total Feed Costs</v>
          </cell>
          <cell r="G66">
            <v>150.80000000000001</v>
          </cell>
          <cell r="H66">
            <v>45240</v>
          </cell>
        </row>
        <row r="67">
          <cell r="H67" t="str">
            <v>$/Year</v>
          </cell>
        </row>
        <row r="68">
          <cell r="E68" t="str">
            <v>Head</v>
          </cell>
          <cell r="F68" t="str">
            <v>$/Head</v>
          </cell>
          <cell r="G68" t="str">
            <v>$/Doe</v>
          </cell>
          <cell r="H68" t="str">
            <v xml:space="preserve"> 300 Does</v>
          </cell>
        </row>
        <row r="69">
          <cell r="A69" t="str">
            <v xml:space="preserve"> Livestock Replacement</v>
          </cell>
          <cell r="E69" t="str">
            <v xml:space="preserve">    ----</v>
          </cell>
          <cell r="F69" t="str">
            <v xml:space="preserve">  ------</v>
          </cell>
          <cell r="G69" t="str">
            <v xml:space="preserve">   -----</v>
          </cell>
          <cell r="H69" t="str">
            <v>-</v>
          </cell>
        </row>
        <row r="70">
          <cell r="A70" t="str">
            <v xml:space="preserve">  Buck Purchase</v>
          </cell>
          <cell r="E70">
            <v>2</v>
          </cell>
          <cell r="F70">
            <v>300</v>
          </cell>
          <cell r="G70">
            <v>2</v>
          </cell>
          <cell r="H70">
            <v>600</v>
          </cell>
        </row>
        <row r="71">
          <cell r="A71" t="str">
            <v xml:space="preserve">  Buck Lease</v>
          </cell>
          <cell r="E71">
            <v>0</v>
          </cell>
          <cell r="F71">
            <v>0</v>
          </cell>
          <cell r="G71">
            <v>0</v>
          </cell>
          <cell r="H71">
            <v>0</v>
          </cell>
        </row>
        <row r="72">
          <cell r="A72" t="str">
            <v xml:space="preserve">  Milking Doe Purchase</v>
          </cell>
          <cell r="E72">
            <v>0</v>
          </cell>
          <cell r="F72">
            <v>0</v>
          </cell>
          <cell r="G72">
            <v>0</v>
          </cell>
          <cell r="H72">
            <v>0</v>
          </cell>
        </row>
        <row r="73">
          <cell r="A73" t="str">
            <v xml:space="preserve">  Replacement Doe Purchase</v>
          </cell>
          <cell r="E73">
            <v>0</v>
          </cell>
          <cell r="F73">
            <v>0</v>
          </cell>
          <cell r="G73">
            <v>0</v>
          </cell>
          <cell r="H73">
            <v>0</v>
          </cell>
        </row>
        <row r="74">
          <cell r="A74" t="str">
            <v xml:space="preserve">  Other -</v>
          </cell>
          <cell r="B74" t="str">
            <v xml:space="preserve"> Description</v>
          </cell>
          <cell r="E74">
            <v>0</v>
          </cell>
          <cell r="F74">
            <v>0</v>
          </cell>
          <cell r="G74">
            <v>0</v>
          </cell>
          <cell r="H74">
            <v>0</v>
          </cell>
        </row>
        <row r="76">
          <cell r="E76" t="str">
            <v>Typical</v>
          </cell>
          <cell r="F76" t="str">
            <v>$/Year</v>
          </cell>
          <cell r="H76" t="str">
            <v>$/Year</v>
          </cell>
        </row>
        <row r="77">
          <cell r="E77" t="str">
            <v>$/Doe</v>
          </cell>
          <cell r="F77" t="str">
            <v>300 Does</v>
          </cell>
          <cell r="G77" t="str">
            <v>$/Doe</v>
          </cell>
          <cell r="H77" t="str">
            <v xml:space="preserve"> 300 Does</v>
          </cell>
        </row>
        <row r="78">
          <cell r="E78" t="str">
            <v xml:space="preserve"> -------</v>
          </cell>
          <cell r="F78" t="str">
            <v>--------</v>
          </cell>
          <cell r="G78" t="str">
            <v xml:space="preserve">   -----</v>
          </cell>
          <cell r="H78" t="str">
            <v>-</v>
          </cell>
        </row>
        <row r="79">
          <cell r="A79" t="str">
            <v xml:space="preserve"> Hired Labour</v>
          </cell>
          <cell r="E79">
            <v>0</v>
          </cell>
          <cell r="F79">
            <v>1200</v>
          </cell>
          <cell r="G79">
            <v>4</v>
          </cell>
          <cell r="H79">
            <v>1200</v>
          </cell>
        </row>
        <row r="80">
          <cell r="A80" t="str">
            <v xml:space="preserve"> Veterinary &amp; Medicine</v>
          </cell>
          <cell r="E80">
            <v>16</v>
          </cell>
          <cell r="F80">
            <v>4500</v>
          </cell>
          <cell r="G80">
            <v>15</v>
          </cell>
          <cell r="H80">
            <v>4500</v>
          </cell>
        </row>
        <row r="81">
          <cell r="A81" t="str">
            <v xml:space="preserve"> Breeding Costs</v>
          </cell>
          <cell r="E81">
            <v>20</v>
          </cell>
          <cell r="F81">
            <v>0</v>
          </cell>
          <cell r="G81">
            <v>0</v>
          </cell>
          <cell r="H81">
            <v>0</v>
          </cell>
        </row>
        <row r="82">
          <cell r="A82" t="str">
            <v xml:space="preserve"> Bedding</v>
          </cell>
          <cell r="E82">
            <v>1</v>
          </cell>
          <cell r="F82">
            <v>300</v>
          </cell>
          <cell r="G82">
            <v>1</v>
          </cell>
          <cell r="H82">
            <v>300</v>
          </cell>
        </row>
        <row r="83">
          <cell r="A83" t="str">
            <v xml:space="preserve"> Marketing</v>
          </cell>
          <cell r="E83">
            <v>15</v>
          </cell>
          <cell r="F83">
            <v>5100</v>
          </cell>
          <cell r="G83">
            <v>17</v>
          </cell>
          <cell r="H83">
            <v>5100</v>
          </cell>
        </row>
        <row r="84">
          <cell r="A84" t="str">
            <v xml:space="preserve"> Transportation</v>
          </cell>
          <cell r="E84">
            <v>35</v>
          </cell>
          <cell r="F84">
            <v>10500</v>
          </cell>
          <cell r="G84">
            <v>35</v>
          </cell>
          <cell r="H84">
            <v>10500</v>
          </cell>
        </row>
        <row r="85">
          <cell r="A85" t="str">
            <v xml:space="preserve"> Livestock Supplies</v>
          </cell>
          <cell r="E85">
            <v>12.38</v>
          </cell>
          <cell r="F85">
            <v>0</v>
          </cell>
          <cell r="G85">
            <v>0</v>
          </cell>
          <cell r="H85">
            <v>0</v>
          </cell>
        </row>
        <row r="86">
          <cell r="A86" t="str">
            <v xml:space="preserve"> Custom Work</v>
          </cell>
          <cell r="E86">
            <v>5</v>
          </cell>
          <cell r="F86">
            <v>0</v>
          </cell>
          <cell r="G86">
            <v>0</v>
          </cell>
          <cell r="H86">
            <v>0</v>
          </cell>
        </row>
        <row r="87">
          <cell r="A87" t="str">
            <v xml:space="preserve"> Equipment Rental</v>
          </cell>
          <cell r="E87">
            <v>5.26</v>
          </cell>
          <cell r="F87">
            <v>0</v>
          </cell>
          <cell r="G87">
            <v>0</v>
          </cell>
          <cell r="H87">
            <v>0</v>
          </cell>
        </row>
        <row r="88">
          <cell r="A88" t="str">
            <v xml:space="preserve"> Miscellaneous (Tags, etc.)</v>
          </cell>
          <cell r="E88">
            <v>32</v>
          </cell>
          <cell r="F88">
            <v>10500</v>
          </cell>
          <cell r="G88">
            <v>35</v>
          </cell>
          <cell r="H88">
            <v>10500</v>
          </cell>
        </row>
        <row r="89">
          <cell r="D89" t="str">
            <v>Typical</v>
          </cell>
          <cell r="E89" t="str">
            <v xml:space="preserve"> Enterprise</v>
          </cell>
          <cell r="H89" t="str">
            <v>$/Year</v>
          </cell>
        </row>
        <row r="90">
          <cell r="D90" t="str">
            <v xml:space="preserve"> $/Doe</v>
          </cell>
          <cell r="E90" t="str">
            <v xml:space="preserve"> $ Allocated</v>
          </cell>
          <cell r="G90" t="str">
            <v>$/Doe</v>
          </cell>
          <cell r="H90" t="str">
            <v xml:space="preserve"> 300 Does</v>
          </cell>
        </row>
        <row r="91">
          <cell r="A91" t="str">
            <v xml:space="preserve"> Fuel</v>
          </cell>
          <cell r="D91">
            <v>2.5</v>
          </cell>
          <cell r="E91">
            <v>0</v>
          </cell>
          <cell r="G91">
            <v>2.5</v>
          </cell>
          <cell r="H91">
            <v>750</v>
          </cell>
        </row>
        <row r="92">
          <cell r="A92" t="str">
            <v xml:space="preserve"> Mach. Repair &amp; Maint.</v>
          </cell>
          <cell r="D92">
            <v>4.25</v>
          </cell>
          <cell r="E92">
            <v>0</v>
          </cell>
          <cell r="G92">
            <v>4.25</v>
          </cell>
          <cell r="H92">
            <v>1275</v>
          </cell>
          <cell r="K92" t="str">
            <v>Wfarm!L4</v>
          </cell>
        </row>
        <row r="93">
          <cell r="A93" t="str">
            <v xml:space="preserve"> Bldg. Repair &amp; Maint.</v>
          </cell>
          <cell r="D93">
            <v>40</v>
          </cell>
          <cell r="E93">
            <v>0</v>
          </cell>
          <cell r="G93">
            <v>40</v>
          </cell>
          <cell r="H93">
            <v>12000</v>
          </cell>
          <cell r="K93" t="str">
            <v>Wfarm!L5</v>
          </cell>
        </row>
        <row r="94">
          <cell r="A94" t="str">
            <v xml:space="preserve"> Rent and Labour</v>
          </cell>
          <cell r="D94">
            <v>0</v>
          </cell>
          <cell r="E94">
            <v>0</v>
          </cell>
          <cell r="G94">
            <v>0</v>
          </cell>
          <cell r="H94">
            <v>0</v>
          </cell>
          <cell r="K94" t="str">
            <v>Wfarm!L6</v>
          </cell>
        </row>
        <row r="95">
          <cell r="A95" t="str">
            <v xml:space="preserve"> General Variable Costs</v>
          </cell>
          <cell r="D95">
            <v>44</v>
          </cell>
          <cell r="E95">
            <v>0</v>
          </cell>
          <cell r="G95">
            <v>44</v>
          </cell>
          <cell r="H95">
            <v>13200</v>
          </cell>
          <cell r="K95" t="str">
            <v>Wfarm!L7</v>
          </cell>
        </row>
        <row r="96">
          <cell r="A96" t="str">
            <v xml:space="preserve"> Interest on</v>
          </cell>
          <cell r="C96" t="str">
            <v>%int</v>
          </cell>
          <cell r="D96" t="str">
            <v>%year</v>
          </cell>
          <cell r="K96" t="str">
            <v>Wfarm!L8</v>
          </cell>
        </row>
        <row r="97">
          <cell r="A97" t="str">
            <v xml:space="preserve"> Operating Capital</v>
          </cell>
          <cell r="C97">
            <v>7.75</v>
          </cell>
          <cell r="D97">
            <v>33.299999999999997</v>
          </cell>
          <cell r="E97">
            <v>0</v>
          </cell>
          <cell r="G97">
            <v>7.7033333333333331</v>
          </cell>
          <cell r="H97">
            <v>2311</v>
          </cell>
        </row>
        <row r="98">
          <cell r="G98" t="str">
            <v xml:space="preserve">  ------</v>
          </cell>
          <cell r="H98" t="str">
            <v xml:space="preserve">  ------</v>
          </cell>
        </row>
        <row r="99">
          <cell r="A99" t="str">
            <v>Total Variable Costs</v>
          </cell>
          <cell r="G99">
            <v>358.25333333333333</v>
          </cell>
          <cell r="H99">
            <v>107476</v>
          </cell>
          <cell r="K99" t="str">
            <v>Wfarm!L9</v>
          </cell>
        </row>
        <row r="100">
          <cell r="J100">
            <v>2311</v>
          </cell>
        </row>
        <row r="101">
          <cell r="D101" t="str">
            <v>Typical</v>
          </cell>
          <cell r="E101" t="str">
            <v xml:space="preserve"> Enterprise</v>
          </cell>
          <cell r="H101" t="str">
            <v>$/Year</v>
          </cell>
        </row>
        <row r="102">
          <cell r="A102" t="str">
            <v>Fixed Costs:</v>
          </cell>
          <cell r="D102" t="str">
            <v xml:space="preserve"> $/Doe</v>
          </cell>
          <cell r="E102" t="str">
            <v xml:space="preserve"> $ Allocated</v>
          </cell>
          <cell r="G102" t="str">
            <v>$/Doe</v>
          </cell>
          <cell r="H102" t="str">
            <v xml:space="preserve"> 300 Does</v>
          </cell>
        </row>
        <row r="103">
          <cell r="A103" t="str">
            <v xml:space="preserve"> Depreciation</v>
          </cell>
          <cell r="D103">
            <v>26</v>
          </cell>
          <cell r="E103">
            <v>0</v>
          </cell>
          <cell r="G103" t="e">
            <v>#REF!</v>
          </cell>
          <cell r="H103" t="e">
            <v>#REF!</v>
          </cell>
        </row>
        <row r="104">
          <cell r="A104" t="str">
            <v xml:space="preserve"> Interest on Term Loans</v>
          </cell>
          <cell r="D104">
            <v>45</v>
          </cell>
          <cell r="E104">
            <v>0</v>
          </cell>
          <cell r="G104" t="e">
            <v>#REF!</v>
          </cell>
          <cell r="H104" t="e">
            <v>#REF!</v>
          </cell>
        </row>
        <row r="105">
          <cell r="A105" t="str">
            <v xml:space="preserve"> Long-term Leases</v>
          </cell>
          <cell r="D105">
            <v>0</v>
          </cell>
          <cell r="E105">
            <v>0</v>
          </cell>
          <cell r="G105" t="e">
            <v>#REF!</v>
          </cell>
          <cell r="H105" t="e">
            <v>#REF!</v>
          </cell>
          <cell r="K105" t="str">
            <v>Wfarm!K4</v>
          </cell>
        </row>
        <row r="106">
          <cell r="A106" t="str">
            <v xml:space="preserve"> General Fixed Costs</v>
          </cell>
          <cell r="D106">
            <v>15</v>
          </cell>
          <cell r="E106">
            <v>0</v>
          </cell>
          <cell r="G106">
            <v>15</v>
          </cell>
          <cell r="H106">
            <v>4500</v>
          </cell>
          <cell r="K106" t="str">
            <v>Wfarm!K5</v>
          </cell>
        </row>
        <row r="107">
          <cell r="G107" t="str">
            <v xml:space="preserve">  ------</v>
          </cell>
          <cell r="H107" t="str">
            <v xml:space="preserve">  ------</v>
          </cell>
          <cell r="K107" t="str">
            <v>Wfarm!K6</v>
          </cell>
        </row>
        <row r="108">
          <cell r="A108" t="str">
            <v>Total Fixed Costs</v>
          </cell>
          <cell r="G108" t="e">
            <v>#REF!</v>
          </cell>
          <cell r="H108" t="e">
            <v>#REF!</v>
          </cell>
          <cell r="K108" t="str">
            <v>Wfarm!K7</v>
          </cell>
        </row>
        <row r="110">
          <cell r="A110" t="str">
            <v>Revenues:</v>
          </cell>
          <cell r="D110" t="str">
            <v>$/Doe</v>
          </cell>
          <cell r="E110" t="str">
            <v>$/Year</v>
          </cell>
        </row>
        <row r="111">
          <cell r="A111" t="str">
            <v>Total Expected Revenues</v>
          </cell>
          <cell r="D111">
            <v>514.82500000000005</v>
          </cell>
          <cell r="E111">
            <v>154447.5</v>
          </cell>
        </row>
        <row r="112">
          <cell r="A112" t="str">
            <v xml:space="preserve">    less: Variable Costs</v>
          </cell>
          <cell r="D112">
            <v>358.25333333333333</v>
          </cell>
          <cell r="E112">
            <v>107476</v>
          </cell>
        </row>
        <row r="113">
          <cell r="D113" t="str">
            <v xml:space="preserve">  ------</v>
          </cell>
          <cell r="E113" t="str">
            <v xml:space="preserve">  ------</v>
          </cell>
        </row>
        <row r="114">
          <cell r="A114" t="str">
            <v>Expected Operating Margin</v>
          </cell>
          <cell r="D114">
            <v>156.57166666666666</v>
          </cell>
          <cell r="E114">
            <v>46971.5</v>
          </cell>
        </row>
        <row r="115">
          <cell r="A115" t="str">
            <v xml:space="preserve">     less: Fixed Costs</v>
          </cell>
          <cell r="D115" t="e">
            <v>#REF!</v>
          </cell>
          <cell r="E115" t="e">
            <v>#REF!</v>
          </cell>
        </row>
        <row r="116">
          <cell r="D116" t="str">
            <v xml:space="preserve">  ------</v>
          </cell>
          <cell r="E116" t="str">
            <v xml:space="preserve">  ------</v>
          </cell>
        </row>
        <row r="117">
          <cell r="A117" t="str">
            <v>Expected Net Revenue</v>
          </cell>
          <cell r="D117" t="e">
            <v>#REF!</v>
          </cell>
          <cell r="E117" t="e">
            <v>#REF!</v>
          </cell>
        </row>
        <row r="120">
          <cell r="A120" t="str">
            <v>Expected Break-even per</v>
          </cell>
          <cell r="F120" t="str">
            <v>Kid Sold</v>
          </cell>
          <cell r="G120" t="str">
            <v xml:space="preserve"> hl of Milk</v>
          </cell>
        </row>
        <row r="121">
          <cell r="A121" t="str">
            <v>Needed to Cover:</v>
          </cell>
          <cell r="D121" t="str">
            <v>Variable Costs</v>
          </cell>
          <cell r="F121" t="e">
            <v>#REF!</v>
          </cell>
          <cell r="G121" t="e">
            <v>#REF!</v>
          </cell>
        </row>
        <row r="122">
          <cell r="D122" t="str">
            <v>Fixed Costs</v>
          </cell>
          <cell r="F122" t="e">
            <v>#REF!</v>
          </cell>
          <cell r="G122" t="e">
            <v>#REF!</v>
          </cell>
        </row>
        <row r="123">
          <cell r="F123" t="str">
            <v xml:space="preserve">  ------</v>
          </cell>
          <cell r="G123" t="str">
            <v xml:space="preserve">  ------</v>
          </cell>
        </row>
        <row r="124">
          <cell r="D124" t="str">
            <v>Total Costs</v>
          </cell>
          <cell r="F124" t="e">
            <v>#REF!</v>
          </cell>
          <cell r="G124" t="e">
            <v>#REF!</v>
          </cell>
        </row>
        <row r="125">
          <cell r="A125" t="str">
            <v>=</v>
          </cell>
          <cell r="B125" t="str">
            <v>=</v>
          </cell>
          <cell r="C125" t="str">
            <v>=</v>
          </cell>
          <cell r="D125" t="str">
            <v>=</v>
          </cell>
          <cell r="E125" t="str">
            <v>=</v>
          </cell>
          <cell r="F125" t="str">
            <v>=</v>
          </cell>
          <cell r="G125" t="str">
            <v>=</v>
          </cell>
          <cell r="H125" t="str">
            <v>=</v>
          </cell>
          <cell r="J125" t="e">
            <v>#REF!</v>
          </cell>
        </row>
        <row r="126">
          <cell r="B126" t="str">
            <v>Chance of at least breaking even        ==&gt;</v>
          </cell>
          <cell r="G126" t="e">
            <v>#REF!</v>
          </cell>
          <cell r="H126" t="str">
            <v>StdPrKids</v>
          </cell>
          <cell r="J126" t="e">
            <v>#REF!</v>
          </cell>
        </row>
        <row r="127">
          <cell r="B127" t="str">
            <v>Chance of at least</v>
          </cell>
          <cell r="D127">
            <v>0</v>
          </cell>
          <cell r="E127" t="str">
            <v>$/doe return ==&gt;</v>
          </cell>
          <cell r="G127" t="e">
            <v>#REF!</v>
          </cell>
          <cell r="H127" t="str">
            <v>VarKids</v>
          </cell>
        </row>
        <row r="128">
          <cell r="B128" t="str">
            <v>Coefficient of variation                ==&gt;</v>
          </cell>
          <cell r="G128">
            <v>0.30454253827540773</v>
          </cell>
          <cell r="H128" t="str">
            <v>StdHlMilk</v>
          </cell>
        </row>
        <row r="129">
          <cell r="H129" t="str">
            <v>StdPrMilk</v>
          </cell>
        </row>
        <row r="130">
          <cell r="C130" t="str">
            <v>Returns $/Doe</v>
          </cell>
          <cell r="E130" t="str">
            <v>Chances of at least</v>
          </cell>
          <cell r="H130" t="str">
            <v>VarMilk</v>
          </cell>
          <cell r="I130">
            <v>0.93500000000000005</v>
          </cell>
        </row>
        <row r="131">
          <cell r="E131" t="str">
            <v>this return per doe</v>
          </cell>
          <cell r="H131" t="str">
            <v>VarSum</v>
          </cell>
          <cell r="I131">
            <v>10</v>
          </cell>
        </row>
        <row r="132">
          <cell r="H132" t="str">
            <v>StdSum</v>
          </cell>
          <cell r="I132">
            <v>2799.0725000000002</v>
          </cell>
        </row>
        <row r="133">
          <cell r="C133" t="e">
            <v>#REF!</v>
          </cell>
          <cell r="E133" t="str">
            <v xml:space="preserve">       17 %</v>
          </cell>
          <cell r="H133" t="str">
            <v>z</v>
          </cell>
          <cell r="I133">
            <v>1.5</v>
          </cell>
        </row>
        <row r="134">
          <cell r="C134" t="e">
            <v>#REF!</v>
          </cell>
          <cell r="E134" t="str">
            <v xml:space="preserve">       33 %</v>
          </cell>
          <cell r="H134" t="str">
            <v>v1</v>
          </cell>
          <cell r="I134">
            <v>15</v>
          </cell>
        </row>
        <row r="135">
          <cell r="C135" t="e">
            <v>#REF!</v>
          </cell>
          <cell r="E135" t="str">
            <v xml:space="preserve">       50 %</v>
          </cell>
          <cell r="H135" t="str">
            <v>v2</v>
          </cell>
          <cell r="I135">
            <v>21782.8125</v>
          </cell>
        </row>
        <row r="136">
          <cell r="C136" t="e">
            <v>#REF!</v>
          </cell>
          <cell r="E136" t="str">
            <v xml:space="preserve">       67 %</v>
          </cell>
          <cell r="H136" t="str">
            <v>p(vx)</v>
          </cell>
          <cell r="I136">
            <v>24581.885000000002</v>
          </cell>
        </row>
        <row r="137">
          <cell r="C137" t="e">
            <v>#REF!</v>
          </cell>
          <cell r="E137" t="str">
            <v xml:space="preserve">       83 %</v>
          </cell>
          <cell r="I137">
            <v>156.78611226763678</v>
          </cell>
        </row>
        <row r="138">
          <cell r="H138" t="str">
            <v/>
          </cell>
          <cell r="I138" t="e">
            <v>#REF!</v>
          </cell>
          <cell r="J138" t="e">
            <v>#REF!</v>
          </cell>
        </row>
        <row r="139">
          <cell r="E139" t="str">
            <v>- End of Budget -</v>
          </cell>
          <cell r="I139" t="e">
            <v>#REF!</v>
          </cell>
          <cell r="J139" t="e">
            <v>#REF!</v>
          </cell>
        </row>
        <row r="140">
          <cell r="A140" t="str">
            <v>=</v>
          </cell>
          <cell r="B140" t="str">
            <v>=</v>
          </cell>
          <cell r="C140" t="str">
            <v>=</v>
          </cell>
          <cell r="D140" t="str">
            <v>=</v>
          </cell>
          <cell r="E140" t="str">
            <v>=</v>
          </cell>
          <cell r="F140" t="str">
            <v>=</v>
          </cell>
          <cell r="G140" t="str">
            <v>=</v>
          </cell>
          <cell r="H140" t="str">
            <v>=</v>
          </cell>
          <cell r="I140" t="e">
            <v>#REF!</v>
          </cell>
          <cell r="J140" t="e">
            <v>#REF!</v>
          </cell>
        </row>
        <row r="141">
          <cell r="I141" t="e">
            <v>#REF!</v>
          </cell>
          <cell r="J141" t="e">
            <v>#REF!</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EIFER"/>
    </sheetNames>
    <sheetDataSet>
      <sheetData sheetId="0" refreshError="1">
        <row r="1">
          <cell r="A1" t="str">
            <v>Dheifer 1</v>
          </cell>
          <cell r="C1" t="str">
            <v>DAIRY HEIFER BUDGET</v>
          </cell>
          <cell r="G1" t="str">
            <v>Revised: May '98</v>
          </cell>
        </row>
        <row r="2">
          <cell r="A2">
            <v>2</v>
          </cell>
          <cell r="F2" t="str">
            <v>Profit Per Heifer:</v>
          </cell>
          <cell r="H2">
            <v>88.045316167479072</v>
          </cell>
        </row>
        <row r="3">
          <cell r="A3" t="str">
            <v>=</v>
          </cell>
          <cell r="B3" t="str">
            <v>=</v>
          </cell>
          <cell r="C3" t="str">
            <v>=</v>
          </cell>
          <cell r="D3" t="str">
            <v>=</v>
          </cell>
          <cell r="E3" t="str">
            <v>=</v>
          </cell>
          <cell r="F3" t="str">
            <v>=</v>
          </cell>
          <cell r="G3" t="str">
            <v>=</v>
          </cell>
          <cell r="H3" t="str">
            <v>=</v>
          </cell>
        </row>
        <row r="4">
          <cell r="A4" t="str">
            <v>This budget is designed to analyze an operation with continuous dairy</v>
          </cell>
        </row>
        <row r="5">
          <cell r="A5" t="str">
            <v>heifer production.  All heifer purchases must be made at the beginning</v>
          </cell>
        </row>
        <row r="6">
          <cell r="A6" t="str">
            <v>of a production stage and all heifer sales must occur at the end of a</v>
          </cell>
        </row>
        <row r="7">
          <cell r="A7" t="str">
            <v xml:space="preserve">production stage.  Heifers are not kept in the operation after the </v>
          </cell>
        </row>
        <row r="8">
          <cell r="A8" t="str">
            <v>last month of the final stage.  Stages have to be less than or equal</v>
          </cell>
        </row>
        <row r="9">
          <cell r="A9" t="str">
            <v>to 12 months.</v>
          </cell>
        </row>
        <row r="10">
          <cell r="A10" t="str">
            <v>=</v>
          </cell>
          <cell r="B10" t="str">
            <v>=</v>
          </cell>
          <cell r="C10" t="str">
            <v>=</v>
          </cell>
          <cell r="D10" t="str">
            <v>=</v>
          </cell>
          <cell r="E10" t="str">
            <v>=</v>
          </cell>
          <cell r="F10" t="str">
            <v>=</v>
          </cell>
          <cell r="G10" t="str">
            <v>=</v>
          </cell>
          <cell r="H10" t="str">
            <v>=</v>
          </cell>
        </row>
        <row r="12">
          <cell r="A12" t="str">
            <v>Expected</v>
          </cell>
          <cell r="D12" t="str">
            <v>Stage 1</v>
          </cell>
          <cell r="F12" t="str">
            <v>Stage 2</v>
          </cell>
          <cell r="H12" t="str">
            <v>Stage 3</v>
          </cell>
        </row>
        <row r="13">
          <cell r="A13" t="str">
            <v>-</v>
          </cell>
          <cell r="D13" t="str">
            <v>-</v>
          </cell>
          <cell r="E13" t="str">
            <v>-</v>
          </cell>
          <cell r="F13" t="str">
            <v>-</v>
          </cell>
          <cell r="G13" t="str">
            <v>-</v>
          </cell>
          <cell r="H13" t="str">
            <v>-</v>
          </cell>
        </row>
        <row r="14">
          <cell r="A14" t="str">
            <v># Purchased per month</v>
          </cell>
          <cell r="D14">
            <v>0</v>
          </cell>
          <cell r="F14">
            <v>3</v>
          </cell>
          <cell r="H14">
            <v>0</v>
          </cell>
          <cell r="K14">
            <v>0</v>
          </cell>
        </row>
        <row r="15">
          <cell r="A15" t="str">
            <v>Monthly Transfer in</v>
          </cell>
          <cell r="D15">
            <v>10</v>
          </cell>
          <cell r="F15">
            <v>9.8000000000000007</v>
          </cell>
          <cell r="H15">
            <v>10.0352</v>
          </cell>
          <cell r="K15">
            <v>125964.074565677</v>
          </cell>
        </row>
        <row r="16">
          <cell r="A16" t="str">
            <v>Total Entering Stage</v>
          </cell>
          <cell r="D16">
            <v>10</v>
          </cell>
          <cell r="F16">
            <v>12.8</v>
          </cell>
          <cell r="H16">
            <v>10.0352</v>
          </cell>
          <cell r="K16">
            <v>6691.4480639999983</v>
          </cell>
        </row>
        <row r="17">
          <cell r="A17" t="str">
            <v>Beginning Value ($/head)</v>
          </cell>
          <cell r="D17">
            <v>125</v>
          </cell>
          <cell r="F17">
            <v>450</v>
          </cell>
          <cell r="H17">
            <v>900</v>
          </cell>
          <cell r="K17">
            <v>156910.3872</v>
          </cell>
        </row>
        <row r="18">
          <cell r="A18" t="str">
            <v>Beginning Age (months)</v>
          </cell>
          <cell r="D18">
            <v>0</v>
          </cell>
          <cell r="F18">
            <v>8</v>
          </cell>
          <cell r="H18">
            <v>17</v>
          </cell>
          <cell r="K18">
            <v>19919.584061976471</v>
          </cell>
        </row>
        <row r="19">
          <cell r="A19" t="str">
            <v>Ending Value ($/head)</v>
          </cell>
          <cell r="D19">
            <v>450</v>
          </cell>
          <cell r="F19">
            <v>900</v>
          </cell>
          <cell r="H19">
            <v>1100</v>
          </cell>
        </row>
        <row r="20">
          <cell r="A20" t="str">
            <v>Ending Age (months)</v>
          </cell>
          <cell r="D20">
            <v>7</v>
          </cell>
          <cell r="F20">
            <v>16</v>
          </cell>
          <cell r="H20">
            <v>24</v>
          </cell>
          <cell r="K20" t="str">
            <v>Tran!D3..G14</v>
          </cell>
        </row>
        <row r="21">
          <cell r="A21" t="str">
            <v>% Death Loss</v>
          </cell>
          <cell r="D21">
            <v>2</v>
          </cell>
          <cell r="F21">
            <v>2</v>
          </cell>
          <cell r="H21">
            <v>2</v>
          </cell>
          <cell r="K21" t="str">
            <v>Allo!C3..J14</v>
          </cell>
        </row>
        <row r="22">
          <cell r="A22" t="str">
            <v>% Sold at End of Stage</v>
          </cell>
          <cell r="D22">
            <v>0</v>
          </cell>
          <cell r="F22">
            <v>20</v>
          </cell>
          <cell r="H22">
            <v>100</v>
          </cell>
          <cell r="K22">
            <v>275.48159999999996</v>
          </cell>
        </row>
        <row r="23">
          <cell r="A23" t="str">
            <v># of Cattle in Stage</v>
          </cell>
          <cell r="D23">
            <v>80</v>
          </cell>
          <cell r="F23">
            <v>115.2</v>
          </cell>
          <cell r="H23">
            <v>80.281599999999997</v>
          </cell>
          <cell r="K23">
            <v>15938.578285714282</v>
          </cell>
        </row>
        <row r="24">
          <cell r="K24">
            <v>93082.853674376413</v>
          </cell>
        </row>
        <row r="25">
          <cell r="A25" t="str">
            <v>Total # of Cattle on Farm</v>
          </cell>
          <cell r="D25">
            <v>275.48159999999996</v>
          </cell>
          <cell r="K25">
            <v>2611.1720228571421</v>
          </cell>
        </row>
        <row r="26">
          <cell r="A26" t="str">
            <v>% Crop Transfers by Stage</v>
          </cell>
          <cell r="D26">
            <v>20</v>
          </cell>
          <cell r="F26">
            <v>34</v>
          </cell>
          <cell r="H26">
            <v>46</v>
          </cell>
          <cell r="K26">
            <v>761.50985142857132</v>
          </cell>
        </row>
        <row r="27">
          <cell r="K27">
            <v>375.83561142857138</v>
          </cell>
        </row>
        <row r="28">
          <cell r="A28" t="str">
            <v>Risk Ratings for all Stages</v>
          </cell>
          <cell r="K28">
            <v>66.902674285714269</v>
          </cell>
        </row>
        <row r="29">
          <cell r="A29" t="str">
            <v>2/3 chance of Death Loss  within + or -</v>
          </cell>
          <cell r="F29">
            <v>20</v>
          </cell>
          <cell r="G29" t="str">
            <v>%  of Expected</v>
          </cell>
        </row>
        <row r="30">
          <cell r="A30" t="str">
            <v>2/3 chance of Heifer Prices  within + or -</v>
          </cell>
          <cell r="F30">
            <v>5</v>
          </cell>
          <cell r="G30" t="str">
            <v>%  of Expected</v>
          </cell>
        </row>
        <row r="31">
          <cell r="A31" t="str">
            <v>2/3 chance of Sale Price  within + or -</v>
          </cell>
          <cell r="F31">
            <v>15</v>
          </cell>
          <cell r="G31" t="str">
            <v>%  of Expected</v>
          </cell>
        </row>
        <row r="32">
          <cell r="A32" t="str">
            <v>=</v>
          </cell>
          <cell r="B32" t="str">
            <v>=</v>
          </cell>
          <cell r="C32" t="str">
            <v>=</v>
          </cell>
          <cell r="D32" t="str">
            <v>=</v>
          </cell>
          <cell r="E32" t="str">
            <v>=</v>
          </cell>
          <cell r="F32" t="str">
            <v>=</v>
          </cell>
          <cell r="G32" t="str">
            <v>=</v>
          </cell>
          <cell r="H32" t="str">
            <v>=</v>
          </cell>
        </row>
        <row r="34">
          <cell r="A34" t="str">
            <v>EXPENSES</v>
          </cell>
        </row>
        <row r="35">
          <cell r="A35" t="str">
            <v>-</v>
          </cell>
        </row>
        <row r="36">
          <cell r="A36" t="str">
            <v xml:space="preserve"> Variable Expenses:</v>
          </cell>
        </row>
        <row r="37">
          <cell r="D37" t="str">
            <v xml:space="preserve"> |---- lbs/day/hd ----</v>
          </cell>
          <cell r="F37" t="str">
            <v>------|</v>
          </cell>
          <cell r="G37" t="str">
            <v>Avg. Feed</v>
          </cell>
        </row>
        <row r="38">
          <cell r="A38" t="str">
            <v>Purchased Feed:</v>
          </cell>
          <cell r="C38" t="str">
            <v>$/Tonne</v>
          </cell>
          <cell r="D38" t="str">
            <v>Stage 1</v>
          </cell>
          <cell r="E38" t="str">
            <v>Stage 2</v>
          </cell>
          <cell r="F38" t="str">
            <v>Stage 3</v>
          </cell>
          <cell r="G38" t="str">
            <v>lbs/Hd</v>
          </cell>
          <cell r="H38" t="str">
            <v>$/Year</v>
          </cell>
        </row>
        <row r="39">
          <cell r="C39" t="str">
            <v>-</v>
          </cell>
          <cell r="D39" t="str">
            <v>-</v>
          </cell>
          <cell r="E39" t="str">
            <v>-</v>
          </cell>
          <cell r="F39" t="str">
            <v>-</v>
          </cell>
          <cell r="G39" t="str">
            <v>-</v>
          </cell>
          <cell r="H39" t="str">
            <v>-</v>
          </cell>
        </row>
        <row r="40">
          <cell r="A40" t="str">
            <v xml:space="preserve"> Grain #1</v>
          </cell>
          <cell r="B40" t="str">
            <v xml:space="preserve">  Corn</v>
          </cell>
          <cell r="C40">
            <v>116</v>
          </cell>
          <cell r="D40">
            <v>2</v>
          </cell>
          <cell r="E40">
            <v>8</v>
          </cell>
          <cell r="F40">
            <v>19</v>
          </cell>
          <cell r="G40">
            <v>3454.0851222005399</v>
          </cell>
          <cell r="H40">
            <v>50058.176841723362</v>
          </cell>
          <cell r="I40">
            <v>0</v>
          </cell>
          <cell r="J40">
            <v>38.690000000000005</v>
          </cell>
          <cell r="K40">
            <v>93044.16367437641</v>
          </cell>
        </row>
        <row r="41">
          <cell r="A41" t="str">
            <v xml:space="preserve">       #2</v>
          </cell>
          <cell r="B41" t="str">
            <v xml:space="preserve">  Barley</v>
          </cell>
          <cell r="C41">
            <v>95</v>
          </cell>
          <cell r="D41">
            <v>0</v>
          </cell>
          <cell r="E41">
            <v>0</v>
          </cell>
          <cell r="F41">
            <v>0</v>
          </cell>
          <cell r="G41">
            <v>0</v>
          </cell>
          <cell r="H41">
            <v>0</v>
          </cell>
        </row>
        <row r="42">
          <cell r="A42" t="str">
            <v xml:space="preserve">       #3</v>
          </cell>
          <cell r="B42" t="str">
            <v xml:space="preserve">  Suppl.</v>
          </cell>
          <cell r="C42">
            <v>275</v>
          </cell>
          <cell r="D42">
            <v>1.5</v>
          </cell>
          <cell r="E42">
            <v>1.5</v>
          </cell>
          <cell r="F42">
            <v>1.5</v>
          </cell>
          <cell r="G42">
            <v>547.50000000000011</v>
          </cell>
          <cell r="H42">
            <v>18810.520816326531</v>
          </cell>
        </row>
        <row r="43">
          <cell r="A43" t="str">
            <v xml:space="preserve"> Forage#1</v>
          </cell>
          <cell r="B43" t="str">
            <v xml:space="preserve">  Silage</v>
          </cell>
          <cell r="C43">
            <v>18</v>
          </cell>
          <cell r="D43">
            <v>36</v>
          </cell>
          <cell r="E43">
            <v>33</v>
          </cell>
          <cell r="F43">
            <v>18</v>
          </cell>
          <cell r="G43">
            <v>10767.449121828828</v>
          </cell>
          <cell r="H43">
            <v>24214.156016326531</v>
          </cell>
        </row>
        <row r="44">
          <cell r="A44" t="str">
            <v xml:space="preserve">       #2</v>
          </cell>
          <cell r="B44" t="str">
            <v xml:space="preserve">  Haylage</v>
          </cell>
          <cell r="C44">
            <v>20</v>
          </cell>
          <cell r="D44">
            <v>0</v>
          </cell>
          <cell r="E44">
            <v>0</v>
          </cell>
          <cell r="F44">
            <v>0</v>
          </cell>
          <cell r="G44">
            <v>0</v>
          </cell>
          <cell r="H44">
            <v>0</v>
          </cell>
        </row>
        <row r="45">
          <cell r="A45" t="str">
            <v xml:space="preserve">       #3</v>
          </cell>
          <cell r="B45" t="str">
            <v xml:space="preserve">  Hay</v>
          </cell>
          <cell r="C45">
            <v>55</v>
          </cell>
          <cell r="D45">
            <v>0</v>
          </cell>
          <cell r="E45">
            <v>0</v>
          </cell>
          <cell r="F45">
            <v>0</v>
          </cell>
          <cell r="G45">
            <v>0</v>
          </cell>
          <cell r="H45">
            <v>0</v>
          </cell>
        </row>
        <row r="46">
          <cell r="A46" t="str">
            <v xml:space="preserve">  Other -</v>
          </cell>
          <cell r="B46" t="str">
            <v xml:space="preserve">  Mineral</v>
          </cell>
          <cell r="C46">
            <v>0</v>
          </cell>
          <cell r="D46">
            <v>0</v>
          </cell>
          <cell r="E46">
            <v>0</v>
          </cell>
          <cell r="F46">
            <v>0</v>
          </cell>
          <cell r="G46">
            <v>0</v>
          </cell>
          <cell r="H46">
            <v>0</v>
          </cell>
        </row>
        <row r="47">
          <cell r="I47">
            <v>0</v>
          </cell>
          <cell r="J47">
            <v>0</v>
          </cell>
          <cell r="K47">
            <v>0</v>
          </cell>
        </row>
        <row r="52">
          <cell r="A52" t="str">
            <v>Homegrown Feed: *</v>
          </cell>
        </row>
        <row r="53">
          <cell r="A53" t="str">
            <v xml:space="preserve"> Crop Transfers (based on </v>
          </cell>
          <cell r="D53">
            <v>280</v>
          </cell>
          <cell r="E53" t="str">
            <v>head)</v>
          </cell>
          <cell r="G53">
            <v>0</v>
          </cell>
          <cell r="H53">
            <v>0</v>
          </cell>
        </row>
        <row r="54">
          <cell r="B54" t="str">
            <v>(from transfer table)</v>
          </cell>
        </row>
        <row r="55">
          <cell r="A55" t="str">
            <v>=</v>
          </cell>
          <cell r="B55" t="str">
            <v>=</v>
          </cell>
          <cell r="C55" t="str">
            <v>=</v>
          </cell>
          <cell r="D55" t="str">
            <v>=</v>
          </cell>
          <cell r="E55" t="str">
            <v>=</v>
          </cell>
          <cell r="F55" t="str">
            <v>=</v>
          </cell>
          <cell r="G55" t="str">
            <v>=</v>
          </cell>
          <cell r="H55" t="str">
            <v>=</v>
          </cell>
        </row>
        <row r="56">
          <cell r="D56" t="str">
            <v xml:space="preserve"> |------- lbs/day/hd ----|</v>
          </cell>
          <cell r="G56" t="str">
            <v>Tot. Feed</v>
          </cell>
        </row>
        <row r="57">
          <cell r="A57" t="str">
            <v xml:space="preserve">   - or -</v>
          </cell>
          <cell r="C57" t="str">
            <v>$/Tonne</v>
          </cell>
          <cell r="D57" t="str">
            <v>Stage 1</v>
          </cell>
          <cell r="E57" t="str">
            <v>Stage 2</v>
          </cell>
          <cell r="F57" t="str">
            <v>Stage 3</v>
          </cell>
          <cell r="G57" t="str">
            <v>lbs/Hd</v>
          </cell>
          <cell r="H57" t="str">
            <v>$/Year</v>
          </cell>
        </row>
        <row r="58">
          <cell r="C58" t="str">
            <v>-</v>
          </cell>
          <cell r="D58" t="str">
            <v>-</v>
          </cell>
          <cell r="E58" t="str">
            <v>-</v>
          </cell>
          <cell r="F58" t="str">
            <v>-</v>
          </cell>
          <cell r="G58" t="str">
            <v>-</v>
          </cell>
          <cell r="H58" t="str">
            <v>-</v>
          </cell>
        </row>
        <row r="59">
          <cell r="B59" t="str">
            <v>*** (Input ONLY if NOT using Crop Transfer table) ***</v>
          </cell>
        </row>
        <row r="60">
          <cell r="A60" t="str">
            <v xml:space="preserve"> Grain #1</v>
          </cell>
          <cell r="B60" t="str">
            <v xml:space="preserve">  Corn</v>
          </cell>
          <cell r="C60">
            <v>100</v>
          </cell>
          <cell r="D60">
            <v>0</v>
          </cell>
          <cell r="E60">
            <v>0</v>
          </cell>
          <cell r="F60">
            <v>0</v>
          </cell>
          <cell r="G60">
            <v>0</v>
          </cell>
          <cell r="H60">
            <v>0</v>
          </cell>
        </row>
        <row r="61">
          <cell r="A61" t="str">
            <v xml:space="preserve">       #2</v>
          </cell>
          <cell r="B61" t="str">
            <v xml:space="preserve">  Barley</v>
          </cell>
          <cell r="C61">
            <v>100</v>
          </cell>
          <cell r="D61">
            <v>0</v>
          </cell>
          <cell r="E61">
            <v>0</v>
          </cell>
          <cell r="F61">
            <v>0</v>
          </cell>
          <cell r="G61">
            <v>0</v>
          </cell>
          <cell r="H61">
            <v>0</v>
          </cell>
        </row>
        <row r="62">
          <cell r="A62" t="str">
            <v xml:space="preserve">       #3</v>
          </cell>
          <cell r="B62" t="str">
            <v xml:space="preserve">  Suppl.</v>
          </cell>
          <cell r="C62">
            <v>290</v>
          </cell>
          <cell r="D62">
            <v>0</v>
          </cell>
          <cell r="E62">
            <v>0</v>
          </cell>
          <cell r="F62">
            <v>0</v>
          </cell>
          <cell r="G62">
            <v>0</v>
          </cell>
          <cell r="H62">
            <v>0</v>
          </cell>
        </row>
        <row r="63">
          <cell r="A63" t="str">
            <v xml:space="preserve"> Forage#1</v>
          </cell>
          <cell r="B63" t="str">
            <v xml:space="preserve">  Silage</v>
          </cell>
          <cell r="C63">
            <v>20</v>
          </cell>
          <cell r="D63">
            <v>0</v>
          </cell>
          <cell r="E63">
            <v>0</v>
          </cell>
          <cell r="F63">
            <v>0</v>
          </cell>
          <cell r="G63">
            <v>0</v>
          </cell>
          <cell r="H63">
            <v>0</v>
          </cell>
        </row>
        <row r="64">
          <cell r="A64" t="str">
            <v xml:space="preserve">       #2</v>
          </cell>
          <cell r="B64" t="str">
            <v xml:space="preserve">  Haylage</v>
          </cell>
          <cell r="C64">
            <v>20</v>
          </cell>
          <cell r="D64">
            <v>0</v>
          </cell>
          <cell r="E64">
            <v>0</v>
          </cell>
          <cell r="F64">
            <v>0</v>
          </cell>
          <cell r="G64">
            <v>0</v>
          </cell>
          <cell r="H64">
            <v>0</v>
          </cell>
        </row>
        <row r="65">
          <cell r="A65" t="str">
            <v xml:space="preserve">       #3</v>
          </cell>
          <cell r="B65" t="str">
            <v xml:space="preserve">  Hay</v>
          </cell>
          <cell r="C65">
            <v>55</v>
          </cell>
          <cell r="D65">
            <v>0</v>
          </cell>
          <cell r="E65">
            <v>0</v>
          </cell>
          <cell r="F65">
            <v>0</v>
          </cell>
          <cell r="G65">
            <v>0</v>
          </cell>
          <cell r="H65">
            <v>0</v>
          </cell>
        </row>
        <row r="66">
          <cell r="A66" t="str">
            <v>Feed Quantity</v>
          </cell>
          <cell r="D66">
            <v>39.5</v>
          </cell>
          <cell r="E66">
            <v>42.5</v>
          </cell>
          <cell r="F66">
            <v>38.5</v>
          </cell>
          <cell r="G66">
            <v>14769.034244029368</v>
          </cell>
        </row>
        <row r="68">
          <cell r="A68" t="str">
            <v>Total Feed Cost</v>
          </cell>
          <cell r="D68">
            <v>0.58627415404154948</v>
          </cell>
          <cell r="E68">
            <v>0.87748344370860931</v>
          </cell>
          <cell r="F68">
            <v>1.3338020502585504</v>
          </cell>
          <cell r="H68">
            <v>93082.853674376413</v>
          </cell>
        </row>
        <row r="70">
          <cell r="A70" t="str">
            <v>Number of Head to Base Following Variable Costs on ==&gt; **</v>
          </cell>
          <cell r="H70">
            <v>280</v>
          </cell>
        </row>
        <row r="72">
          <cell r="A72" t="str">
            <v xml:space="preserve">Variable cost (excluding feed) &amp; Fixed costs allocated to each Stage </v>
          </cell>
        </row>
        <row r="73">
          <cell r="D73" t="str">
            <v>Stage 1</v>
          </cell>
          <cell r="F73" t="str">
            <v>Stage 2</v>
          </cell>
          <cell r="H73" t="str">
            <v>Stage 3</v>
          </cell>
        </row>
        <row r="74">
          <cell r="A74" t="str">
            <v xml:space="preserve">   Percent Allocated</v>
          </cell>
          <cell r="D74">
            <v>20</v>
          </cell>
          <cell r="F74">
            <v>35</v>
          </cell>
          <cell r="H74">
            <v>45</v>
          </cell>
        </row>
        <row r="76">
          <cell r="A76" t="str">
            <v xml:space="preserve">   ** (You MUST enter here, the herd size you used to</v>
          </cell>
        </row>
        <row r="77">
          <cell r="A77" t="str">
            <v xml:space="preserve">       determine your variable costs!!)</v>
          </cell>
        </row>
        <row r="79">
          <cell r="E79" t="str">
            <v>Typical</v>
          </cell>
          <cell r="F79" t="str">
            <v>$/Year</v>
          </cell>
          <cell r="H79" t="str">
            <v>$/Year</v>
          </cell>
        </row>
        <row r="80">
          <cell r="E80" t="str">
            <v>$/Heifer</v>
          </cell>
          <cell r="F80" t="str">
            <v>280 Head</v>
          </cell>
          <cell r="G80" t="str">
            <v>$/Head</v>
          </cell>
          <cell r="H80" t="str">
            <v xml:space="preserve"> 275 Head</v>
          </cell>
        </row>
        <row r="81">
          <cell r="E81" t="str">
            <v>-</v>
          </cell>
          <cell r="F81" t="str">
            <v>-</v>
          </cell>
          <cell r="G81" t="str">
            <v>-</v>
          </cell>
          <cell r="H81" t="str">
            <v>-</v>
          </cell>
        </row>
        <row r="82">
          <cell r="A82" t="str">
            <v xml:space="preserve"> Hired Labour</v>
          </cell>
          <cell r="E82">
            <v>0.74</v>
          </cell>
          <cell r="F82">
            <v>74</v>
          </cell>
          <cell r="G82">
            <v>0.26428571428571429</v>
          </cell>
          <cell r="H82">
            <v>72.805851428571415</v>
          </cell>
        </row>
        <row r="83">
          <cell r="A83" t="str">
            <v xml:space="preserve"> Insurance on Livestock</v>
          </cell>
          <cell r="E83">
            <v>3</v>
          </cell>
          <cell r="F83">
            <v>300</v>
          </cell>
          <cell r="G83">
            <v>1.0714285714285714</v>
          </cell>
          <cell r="H83">
            <v>295.15885714285707</v>
          </cell>
        </row>
        <row r="84">
          <cell r="A84" t="str">
            <v xml:space="preserve"> Vet, Medicine</v>
          </cell>
          <cell r="E84">
            <v>2.54</v>
          </cell>
          <cell r="F84">
            <v>254</v>
          </cell>
          <cell r="G84">
            <v>0.90714285714285714</v>
          </cell>
          <cell r="H84">
            <v>249.90116571428567</v>
          </cell>
        </row>
        <row r="85">
          <cell r="A85" t="str">
            <v xml:space="preserve"> Breeding Fees</v>
          </cell>
          <cell r="E85">
            <v>24</v>
          </cell>
          <cell r="F85">
            <v>2400</v>
          </cell>
          <cell r="G85">
            <v>8.5714285714285712</v>
          </cell>
          <cell r="H85">
            <v>2361.2708571428566</v>
          </cell>
        </row>
        <row r="86">
          <cell r="A86" t="str">
            <v xml:space="preserve"> Marketing Fees</v>
          </cell>
          <cell r="E86">
            <v>2</v>
          </cell>
          <cell r="F86">
            <v>200</v>
          </cell>
          <cell r="G86">
            <v>0.7142857142857143</v>
          </cell>
          <cell r="H86">
            <v>196.77257142857141</v>
          </cell>
        </row>
        <row r="87">
          <cell r="A87" t="str">
            <v xml:space="preserve"> Trucking</v>
          </cell>
          <cell r="E87">
            <v>1.82</v>
          </cell>
          <cell r="F87">
            <v>182</v>
          </cell>
          <cell r="G87">
            <v>0.65</v>
          </cell>
          <cell r="H87">
            <v>179.06303999999997</v>
          </cell>
        </row>
        <row r="88">
          <cell r="A88" t="str">
            <v xml:space="preserve"> Bedding</v>
          </cell>
          <cell r="E88">
            <v>2</v>
          </cell>
          <cell r="F88">
            <v>200</v>
          </cell>
          <cell r="G88">
            <v>0.7142857142857143</v>
          </cell>
          <cell r="H88">
            <v>196.77257142857141</v>
          </cell>
        </row>
        <row r="89">
          <cell r="A89" t="str">
            <v xml:space="preserve"> Custom Work</v>
          </cell>
          <cell r="E89">
            <v>0.48</v>
          </cell>
          <cell r="F89">
            <v>48</v>
          </cell>
          <cell r="G89">
            <v>0.17142857142857143</v>
          </cell>
          <cell r="H89">
            <v>47.225417142857133</v>
          </cell>
          <cell r="K89" t="str">
            <v>Wfarm!L4</v>
          </cell>
        </row>
        <row r="90">
          <cell r="A90" t="str">
            <v xml:space="preserve"> Equipment Rentals</v>
          </cell>
          <cell r="E90">
            <v>0.2</v>
          </cell>
          <cell r="F90">
            <v>20</v>
          </cell>
          <cell r="G90">
            <v>7.1428571428571425E-2</v>
          </cell>
          <cell r="H90">
            <v>19.67725714285714</v>
          </cell>
          <cell r="K90" t="str">
            <v>Wfarm!L5</v>
          </cell>
        </row>
        <row r="91">
          <cell r="A91" t="str">
            <v xml:space="preserve"> Other</v>
          </cell>
          <cell r="E91">
            <v>2</v>
          </cell>
          <cell r="F91">
            <v>200</v>
          </cell>
          <cell r="G91">
            <v>0.7142857142857143</v>
          </cell>
          <cell r="H91">
            <v>196.77257142857141</v>
          </cell>
          <cell r="K91" t="str">
            <v>Wfarm!L6</v>
          </cell>
        </row>
        <row r="92">
          <cell r="A92" t="str">
            <v xml:space="preserve"> Expected Cost of Heifers</v>
          </cell>
          <cell r="F92">
            <v>16200</v>
          </cell>
          <cell r="G92">
            <v>57.857142857142854</v>
          </cell>
          <cell r="H92">
            <v>15938.578285714282</v>
          </cell>
          <cell r="K92" t="str">
            <v>Wfarm!L7</v>
          </cell>
        </row>
        <row r="93">
          <cell r="K93" t="str">
            <v>Wfarm!L8</v>
          </cell>
        </row>
        <row r="95">
          <cell r="I95">
            <v>8045.6063999999997</v>
          </cell>
        </row>
        <row r="96">
          <cell r="I96">
            <v>2957.7211975863211</v>
          </cell>
          <cell r="K96" t="str">
            <v>Wfarm!L9</v>
          </cell>
        </row>
        <row r="101">
          <cell r="D101" t="str">
            <v>Typical</v>
          </cell>
          <cell r="E101" t="str">
            <v xml:space="preserve"> Enterprise</v>
          </cell>
          <cell r="G101" t="str">
            <v xml:space="preserve"> $/Heifer</v>
          </cell>
          <cell r="H101" t="str">
            <v>$/Year</v>
          </cell>
        </row>
        <row r="102">
          <cell r="D102" t="str">
            <v xml:space="preserve"> $/Heifer</v>
          </cell>
          <cell r="E102" t="str">
            <v xml:space="preserve"> $ Allocated</v>
          </cell>
          <cell r="G102" t="str">
            <v>Purchased</v>
          </cell>
          <cell r="H102" t="str">
            <v xml:space="preserve"> 275 Head</v>
          </cell>
        </row>
        <row r="103">
          <cell r="D103" t="str">
            <v>-</v>
          </cell>
          <cell r="E103" t="str">
            <v>-</v>
          </cell>
          <cell r="F103" t="str">
            <v>---</v>
          </cell>
          <cell r="G103" t="str">
            <v>-</v>
          </cell>
          <cell r="H103" t="str">
            <v>-</v>
          </cell>
        </row>
        <row r="104">
          <cell r="A104" t="str">
            <v xml:space="preserve"> Fuel</v>
          </cell>
          <cell r="D104">
            <v>0.44</v>
          </cell>
          <cell r="E104">
            <v>0</v>
          </cell>
          <cell r="G104">
            <v>0.44</v>
          </cell>
          <cell r="H104">
            <v>121.21190399999998</v>
          </cell>
        </row>
        <row r="105">
          <cell r="A105" t="str">
            <v xml:space="preserve"> Mach. Repair &amp; Maint.</v>
          </cell>
          <cell r="D105">
            <v>2.91</v>
          </cell>
          <cell r="E105">
            <v>0</v>
          </cell>
          <cell r="G105">
            <v>2.91</v>
          </cell>
          <cell r="H105">
            <v>801.65145599999994</v>
          </cell>
          <cell r="K105" t="str">
            <v>Wfarm!K4</v>
          </cell>
        </row>
        <row r="106">
          <cell r="A106" t="str">
            <v xml:space="preserve"> Bldg. Repair &amp; Maint.</v>
          </cell>
          <cell r="D106">
            <v>1.17</v>
          </cell>
          <cell r="E106">
            <v>0</v>
          </cell>
          <cell r="G106">
            <v>1.17</v>
          </cell>
          <cell r="H106">
            <v>322.31347199999993</v>
          </cell>
          <cell r="K106" t="str">
            <v>Wfarm!K5</v>
          </cell>
        </row>
        <row r="107">
          <cell r="A107" t="str">
            <v xml:space="preserve"> Rent and Labour</v>
          </cell>
          <cell r="D107">
            <v>0</v>
          </cell>
          <cell r="E107">
            <v>0</v>
          </cell>
          <cell r="G107">
            <v>0</v>
          </cell>
          <cell r="H107">
            <v>0</v>
          </cell>
          <cell r="K107" t="str">
            <v>Wfarm!K6</v>
          </cell>
        </row>
        <row r="108">
          <cell r="A108" t="str">
            <v xml:space="preserve"> General Variable Costs</v>
          </cell>
          <cell r="D108">
            <v>2.0099999999999998</v>
          </cell>
          <cell r="E108">
            <v>0</v>
          </cell>
          <cell r="G108">
            <v>2.0099999999999998</v>
          </cell>
          <cell r="H108">
            <v>553.71801599999981</v>
          </cell>
          <cell r="K108" t="str">
            <v>Wfarm!K7</v>
          </cell>
        </row>
        <row r="109">
          <cell r="A109" t="str">
            <v xml:space="preserve"> Interest on </v>
          </cell>
          <cell r="D109" t="str">
            <v>% int</v>
          </cell>
        </row>
        <row r="110">
          <cell r="A110" t="str">
            <v xml:space="preserve"> Operating Capital</v>
          </cell>
          <cell r="D110">
            <v>6</v>
          </cell>
          <cell r="E110">
            <v>0</v>
          </cell>
          <cell r="G110">
            <v>39.942150755572506</v>
          </cell>
          <cell r="H110">
            <v>11003.327597586322</v>
          </cell>
          <cell r="I110">
            <v>0</v>
          </cell>
        </row>
        <row r="111">
          <cell r="A111" t="str">
            <v>Total Variable Costs</v>
          </cell>
          <cell r="G111">
            <v>457.25041006614242</v>
          </cell>
          <cell r="H111">
            <v>125964.074565677</v>
          </cell>
          <cell r="I111">
            <v>27095.040000000001</v>
          </cell>
        </row>
        <row r="112">
          <cell r="I112">
            <v>129815.34719999999</v>
          </cell>
        </row>
        <row r="113">
          <cell r="D113" t="str">
            <v>Typical</v>
          </cell>
          <cell r="E113" t="str">
            <v xml:space="preserve"> Enterprise</v>
          </cell>
          <cell r="G113" t="str">
            <v xml:space="preserve"> $/Heifer</v>
          </cell>
          <cell r="H113" t="str">
            <v>$/Year</v>
          </cell>
        </row>
        <row r="114">
          <cell r="A114" t="str">
            <v>Fixed Costs:</v>
          </cell>
          <cell r="D114" t="str">
            <v xml:space="preserve"> $/Heifer</v>
          </cell>
          <cell r="E114" t="str">
            <v xml:space="preserve"> $ Allocated</v>
          </cell>
          <cell r="G114" t="str">
            <v>Purchased</v>
          </cell>
          <cell r="H114" t="str">
            <v xml:space="preserve"> 275 Head</v>
          </cell>
        </row>
        <row r="115">
          <cell r="D115" t="str">
            <v>-</v>
          </cell>
          <cell r="E115" t="str">
            <v>-</v>
          </cell>
          <cell r="F115" t="str">
            <v>---</v>
          </cell>
          <cell r="G115" t="str">
            <v>-</v>
          </cell>
          <cell r="H115" t="str">
            <v>-</v>
          </cell>
        </row>
        <row r="116">
          <cell r="A116" t="str">
            <v xml:space="preserve"> Depreciation</v>
          </cell>
          <cell r="D116">
            <v>12.52</v>
          </cell>
          <cell r="E116">
            <v>0</v>
          </cell>
          <cell r="G116">
            <v>12.52</v>
          </cell>
          <cell r="H116">
            <v>3449.0296319999993</v>
          </cell>
        </row>
        <row r="117">
          <cell r="A117" t="str">
            <v xml:space="preserve"> Interest on Term Loans</v>
          </cell>
          <cell r="D117">
            <v>3.57</v>
          </cell>
          <cell r="E117">
            <v>0</v>
          </cell>
          <cell r="G117">
            <v>3.57</v>
          </cell>
          <cell r="H117">
            <v>983.46931199999983</v>
          </cell>
        </row>
        <row r="118">
          <cell r="A118" t="str">
            <v xml:space="preserve"> Long-term Leases</v>
          </cell>
          <cell r="D118">
            <v>0</v>
          </cell>
          <cell r="E118">
            <v>0</v>
          </cell>
          <cell r="G118">
            <v>0</v>
          </cell>
          <cell r="H118">
            <v>0</v>
          </cell>
        </row>
        <row r="119">
          <cell r="A119" t="str">
            <v xml:space="preserve"> General Fixed Costs</v>
          </cell>
          <cell r="D119">
            <v>8.1999999999999993</v>
          </cell>
          <cell r="E119">
            <v>0</v>
          </cell>
          <cell r="G119">
            <v>8.1999999999999993</v>
          </cell>
          <cell r="H119">
            <v>2258.9491199999993</v>
          </cell>
        </row>
        <row r="120">
          <cell r="A120" t="str">
            <v>Total Fixed Costs</v>
          </cell>
          <cell r="G120">
            <v>24.29</v>
          </cell>
          <cell r="H120">
            <v>6691.4480639999983</v>
          </cell>
          <cell r="I120">
            <v>0</v>
          </cell>
        </row>
        <row r="121">
          <cell r="I121">
            <v>30.105599999999999</v>
          </cell>
        </row>
        <row r="122">
          <cell r="A122" t="str">
            <v>Revenues:</v>
          </cell>
          <cell r="E122" t="str">
            <v>$/Heifer</v>
          </cell>
          <cell r="F122" t="str">
            <v>$/Year</v>
          </cell>
          <cell r="I122">
            <v>118.01395199999999</v>
          </cell>
        </row>
        <row r="123">
          <cell r="E123" t="str">
            <v>-</v>
          </cell>
          <cell r="F123" t="str">
            <v>-</v>
          </cell>
        </row>
        <row r="124">
          <cell r="A124" t="str">
            <v>Total Expected Revenues</v>
          </cell>
          <cell r="E124">
            <v>569.58572623362147</v>
          </cell>
          <cell r="F124">
            <v>156910.3872</v>
          </cell>
          <cell r="I124">
            <v>0</v>
          </cell>
          <cell r="J124" t="str">
            <v>sumother</v>
          </cell>
          <cell r="K124">
            <v>13445.66875415775</v>
          </cell>
        </row>
        <row r="125">
          <cell r="A125" t="str">
            <v xml:space="preserve">    less: Variable Costs</v>
          </cell>
          <cell r="E125">
            <v>457.25041006614242</v>
          </cell>
          <cell r="F125">
            <v>125964.074565677</v>
          </cell>
          <cell r="I125">
            <v>27095.040000000001</v>
          </cell>
          <cell r="J125" t="str">
            <v>vcost1</v>
          </cell>
          <cell r="K125">
            <v>19076.353499402976</v>
          </cell>
        </row>
        <row r="126">
          <cell r="A126" t="str">
            <v>Expected Operating Margin</v>
          </cell>
          <cell r="E126">
            <v>112.33531616747906</v>
          </cell>
          <cell r="F126">
            <v>30946.312634322996</v>
          </cell>
          <cell r="I126">
            <v>129815.34719999999</v>
          </cell>
          <cell r="J126" t="str">
            <v>vcost2</v>
          </cell>
          <cell r="K126">
            <v>4744.6740639552117</v>
          </cell>
        </row>
        <row r="127">
          <cell r="A127" t="str">
            <v xml:space="preserve">    less: Fixed Costs</v>
          </cell>
          <cell r="E127">
            <v>24.29</v>
          </cell>
          <cell r="F127">
            <v>6691.4480639999983</v>
          </cell>
          <cell r="I127">
            <v>410176.91980431357</v>
          </cell>
          <cell r="J127" t="str">
            <v>vcost3</v>
          </cell>
          <cell r="K127">
            <v>99094.714613747405</v>
          </cell>
        </row>
        <row r="128">
          <cell r="A128" t="str">
            <v>Expected Net Revenue</v>
          </cell>
          <cell r="E128">
            <v>88.045316167479072</v>
          </cell>
          <cell r="F128">
            <v>24254.864570322999</v>
          </cell>
          <cell r="I128">
            <v>410176.91980431357</v>
          </cell>
        </row>
        <row r="129">
          <cell r="I129">
            <v>280750.09360527364</v>
          </cell>
        </row>
        <row r="130">
          <cell r="A130" t="str">
            <v>Break-even dollars/head</v>
          </cell>
          <cell r="D130" t="str">
            <v>Needed to Cover:</v>
          </cell>
          <cell r="F130" t="str">
            <v>Variable Costs</v>
          </cell>
          <cell r="G130" t="str">
            <v>Total</v>
          </cell>
          <cell r="I130">
            <v>0.140625</v>
          </cell>
        </row>
        <row r="131">
          <cell r="F131" t="str">
            <v>Costs</v>
          </cell>
          <cell r="G131" t="str">
            <v>Costs</v>
          </cell>
          <cell r="I131">
            <v>395688725.12830824</v>
          </cell>
        </row>
        <row r="132">
          <cell r="F132" t="str">
            <v>-</v>
          </cell>
          <cell r="G132" t="str">
            <v>-</v>
          </cell>
        </row>
        <row r="133">
          <cell r="D133" t="str">
            <v xml:space="preserve">     Stage 1</v>
          </cell>
          <cell r="F133">
            <v>156.95095871915399</v>
          </cell>
          <cell r="G133">
            <v>205.74276751915397</v>
          </cell>
          <cell r="I133">
            <v>19919.584061976471</v>
          </cell>
          <cell r="J133" t="str">
            <v>$/Hd</v>
          </cell>
          <cell r="K133">
            <v>673.7462380645278</v>
          </cell>
        </row>
        <row r="134">
          <cell r="D134" t="str">
            <v xml:space="preserve">     Stage 2</v>
          </cell>
          <cell r="F134">
            <v>501.36383943061458</v>
          </cell>
          <cell r="G134">
            <v>540.08749720839239</v>
          </cell>
          <cell r="I134">
            <v>553.32177949934646</v>
          </cell>
          <cell r="J134" t="str">
            <v>BEcatpur</v>
          </cell>
        </row>
        <row r="135">
          <cell r="D135" t="str">
            <v xml:space="preserve">     Stage 3</v>
          </cell>
          <cell r="F135">
            <v>984.42312171758306</v>
          </cell>
          <cell r="G135">
            <v>1033.043785780083</v>
          </cell>
        </row>
        <row r="136">
          <cell r="A136" t="str">
            <v>=</v>
          </cell>
          <cell r="B136" t="str">
            <v>=</v>
          </cell>
          <cell r="C136" t="str">
            <v>=</v>
          </cell>
          <cell r="D136" t="str">
            <v>=</v>
          </cell>
          <cell r="E136" t="str">
            <v>=</v>
          </cell>
          <cell r="F136" t="str">
            <v>=</v>
          </cell>
          <cell r="G136" t="str">
            <v>=</v>
          </cell>
          <cell r="H136" t="str">
            <v>=</v>
          </cell>
          <cell r="J136" t="str">
            <v xml:space="preserve"> +profit</v>
          </cell>
          <cell r="K136" t="str">
            <v xml:space="preserve"> ¬ price</v>
          </cell>
        </row>
        <row r="137">
          <cell r="B137" t="str">
            <v>Chance of at least breaking even       ==&gt;</v>
          </cell>
          <cell r="G137">
            <v>0.88831936355520003</v>
          </cell>
        </row>
        <row r="138">
          <cell r="B138" t="str">
            <v>Chance of at least</v>
          </cell>
          <cell r="D138">
            <v>110</v>
          </cell>
          <cell r="E138" t="str">
            <v>$/hd return ==&gt;</v>
          </cell>
          <cell r="G138">
            <v>0.84586046760787337</v>
          </cell>
          <cell r="I138">
            <v>1.2176391080686235</v>
          </cell>
          <cell r="J138">
            <v>1.0188397763316195</v>
          </cell>
          <cell r="K138">
            <v>1.2176391080686235</v>
          </cell>
        </row>
        <row r="139">
          <cell r="B139" t="str">
            <v>Coefficient of variation               ==&gt;</v>
          </cell>
          <cell r="G139">
            <v>0.97144600718522189</v>
          </cell>
          <cell r="I139">
            <v>0.77999698572059428</v>
          </cell>
          <cell r="J139">
            <v>0.80905757326321215</v>
          </cell>
          <cell r="K139">
            <v>0.77999698572059428</v>
          </cell>
        </row>
        <row r="140">
          <cell r="I140">
            <v>0.19008935451451905</v>
          </cell>
          <cell r="J140">
            <v>0.23741258732550044</v>
          </cell>
          <cell r="K140">
            <v>0.19008935451451905</v>
          </cell>
        </row>
        <row r="141">
          <cell r="C141" t="str">
            <v>Returns: $ per</v>
          </cell>
          <cell r="E141" t="str">
            <v>Chances of at least</v>
          </cell>
          <cell r="I141">
            <v>0.11168063644479999</v>
          </cell>
          <cell r="J141">
            <v>0.15413953239212663</v>
          </cell>
          <cell r="K141">
            <v>0.11168063644479999</v>
          </cell>
        </row>
        <row r="142">
          <cell r="C142" t="str">
            <v>heifer purchased</v>
          </cell>
          <cell r="E142" t="str">
            <v>this return per head</v>
          </cell>
        </row>
        <row r="144">
          <cell r="C144">
            <v>1210.4683641788938</v>
          </cell>
          <cell r="E144" t="str">
            <v xml:space="preserve">       17 %</v>
          </cell>
        </row>
        <row r="145">
          <cell r="C145">
            <v>911.67460324924673</v>
          </cell>
          <cell r="E145" t="str">
            <v xml:space="preserve">       33 %</v>
          </cell>
        </row>
        <row r="146">
          <cell r="C146">
            <v>673.7462380645278</v>
          </cell>
          <cell r="E146" t="str">
            <v xml:space="preserve">       50 %</v>
          </cell>
        </row>
        <row r="147">
          <cell r="C147">
            <v>435.81787287980882</v>
          </cell>
          <cell r="E147" t="str">
            <v xml:space="preserve">       67 %</v>
          </cell>
        </row>
        <row r="148">
          <cell r="C148">
            <v>137.0241119501618</v>
          </cell>
          <cell r="E148" t="str">
            <v xml:space="preserve">       83 %</v>
          </cell>
        </row>
        <row r="149">
          <cell r="D149" t="str">
            <v>- End of Budget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key"/>
    </sheetNames>
    <sheetDataSet>
      <sheetData sheetId="0" refreshError="1">
        <row r="1">
          <cell r="A1" t="str">
            <v>Turkey 1</v>
          </cell>
          <cell r="C1" t="str">
            <v>TURKEY ENTERPRISE BUDGET</v>
          </cell>
          <cell r="G1" t="str">
            <v>Revised: May '98</v>
          </cell>
        </row>
        <row r="2">
          <cell r="A2">
            <v>354</v>
          </cell>
          <cell r="F2" t="str">
            <v>Profit / Kilogram:</v>
          </cell>
          <cell r="H2">
            <v>0</v>
          </cell>
        </row>
        <row r="3">
          <cell r="G3" t="str">
            <v>Revised: July 94</v>
          </cell>
        </row>
        <row r="5">
          <cell r="A5" t="str">
            <v>Basic quota units per year</v>
          </cell>
          <cell r="E5">
            <v>230000</v>
          </cell>
          <cell r="F5" t="str">
            <v>Kgs</v>
          </cell>
        </row>
        <row r="6">
          <cell r="A6" t="str">
            <v>Percentage of Quota Eligible</v>
          </cell>
          <cell r="E6">
            <v>70.25</v>
          </cell>
          <cell r="F6" t="str">
            <v>%</v>
          </cell>
        </row>
        <row r="7">
          <cell r="A7" t="str">
            <v>Required end-weight range</v>
          </cell>
          <cell r="E7">
            <v>9.1999999999999993</v>
          </cell>
          <cell r="F7" t="str">
            <v xml:space="preserve">kg </v>
          </cell>
        </row>
        <row r="8">
          <cell r="A8" t="str">
            <v>Calculated total annual production:</v>
          </cell>
          <cell r="E8">
            <v>0</v>
          </cell>
          <cell r="F8" t="str">
            <v xml:space="preserve">kg </v>
          </cell>
        </row>
        <row r="10">
          <cell r="A10" t="str">
            <v>Number of cycles</v>
          </cell>
          <cell r="E10">
            <v>3</v>
          </cell>
          <cell r="F10" t="str">
            <v>per year</v>
          </cell>
        </row>
        <row r="11">
          <cell r="A11" t="str">
            <v>Weeks per cycle (incl.cleanout)</v>
          </cell>
          <cell r="E11">
            <v>17</v>
          </cell>
          <cell r="F11" t="str">
            <v>weeks/cycle</v>
          </cell>
        </row>
        <row r="12">
          <cell r="A12" t="str">
            <v>Total number weeks/year (max.54)</v>
          </cell>
          <cell r="E12">
            <v>0</v>
          </cell>
          <cell r="F12" t="str">
            <v>weeks/year</v>
          </cell>
        </row>
        <row r="13">
          <cell r="A13" t="str">
            <v>Total birds marketed</v>
          </cell>
          <cell r="E13">
            <v>0</v>
          </cell>
        </row>
        <row r="14">
          <cell r="K14">
            <v>0</v>
          </cell>
        </row>
        <row r="15">
          <cell r="A15" t="str">
            <v>&lt;&lt;Weight Range Info &gt;&gt;</v>
          </cell>
          <cell r="E15" t="str">
            <v>&lt;&lt; Quota Eligibility &gt;&gt;</v>
          </cell>
          <cell r="K15">
            <v>0</v>
          </cell>
        </row>
        <row r="16">
          <cell r="A16" t="str">
            <v>Broilers</v>
          </cell>
          <cell r="B16" t="str">
            <v>less than 6.2</v>
          </cell>
          <cell r="E16" t="str">
            <v>Broilers</v>
          </cell>
          <cell r="F16">
            <v>70.25</v>
          </cell>
          <cell r="K16">
            <v>0</v>
          </cell>
        </row>
        <row r="17">
          <cell r="A17" t="str">
            <v>Hens</v>
          </cell>
          <cell r="B17" t="str">
            <v>6.3 kgs to 9.8 kgs</v>
          </cell>
          <cell r="E17" t="str">
            <v>Hens</v>
          </cell>
          <cell r="F17">
            <v>70.25</v>
          </cell>
          <cell r="K17">
            <v>0</v>
          </cell>
        </row>
        <row r="18">
          <cell r="A18" t="str">
            <v>Toms</v>
          </cell>
          <cell r="B18" t="str">
            <v>greater than 9.9 kgs</v>
          </cell>
          <cell r="E18" t="str">
            <v>Toms</v>
          </cell>
          <cell r="F18">
            <v>76.5</v>
          </cell>
          <cell r="K18">
            <v>0</v>
          </cell>
        </row>
        <row r="20">
          <cell r="K20" t="str">
            <v>Tran!D3..G14</v>
          </cell>
        </row>
        <row r="21">
          <cell r="E21" t="str">
            <v>Opt.</v>
          </cell>
          <cell r="F21" t="str">
            <v xml:space="preserve"> Expected</v>
          </cell>
          <cell r="G21" t="str">
            <v xml:space="preserve">   Pess.</v>
          </cell>
          <cell r="K21" t="str">
            <v>Allo!C3..J14</v>
          </cell>
        </row>
        <row r="22">
          <cell r="A22" t="str">
            <v>Poult cost ($'s ea.)</v>
          </cell>
          <cell r="E22">
            <v>1.35</v>
          </cell>
          <cell r="F22">
            <v>1.45</v>
          </cell>
          <cell r="G22">
            <v>1.55</v>
          </cell>
          <cell r="K22">
            <v>0</v>
          </cell>
        </row>
        <row r="23">
          <cell r="A23" t="str">
            <v>Turkey Price ($'s/kg.)</v>
          </cell>
          <cell r="E23">
            <v>1.6</v>
          </cell>
          <cell r="F23">
            <v>1.52</v>
          </cell>
          <cell r="G23">
            <v>1.45</v>
          </cell>
          <cell r="K23">
            <v>0</v>
          </cell>
        </row>
        <row r="24">
          <cell r="A24" t="str">
            <v>Death loss (including # condemned) %</v>
          </cell>
          <cell r="E24">
            <v>4</v>
          </cell>
          <cell r="F24">
            <v>8</v>
          </cell>
          <cell r="G24">
            <v>12</v>
          </cell>
          <cell r="K24">
            <v>0</v>
          </cell>
        </row>
        <row r="25">
          <cell r="A25" t="str">
            <v>Feed conversion rate</v>
          </cell>
          <cell r="E25">
            <v>2</v>
          </cell>
          <cell r="F25">
            <v>2.2999999999999998</v>
          </cell>
          <cell r="G25">
            <v>2.5</v>
          </cell>
          <cell r="K25">
            <v>0</v>
          </cell>
        </row>
        <row r="26">
          <cell r="A26" t="str">
            <v>Purchased feed price ($'s per tonne)</v>
          </cell>
          <cell r="E26">
            <v>280</v>
          </cell>
          <cell r="F26">
            <v>300</v>
          </cell>
          <cell r="G26">
            <v>320</v>
          </cell>
          <cell r="K26">
            <v>0</v>
          </cell>
        </row>
        <row r="27">
          <cell r="A27" t="str">
            <v>Poults</v>
          </cell>
          <cell r="B27" t="str">
            <v>Required</v>
          </cell>
          <cell r="F27">
            <v>0</v>
          </cell>
          <cell r="K27">
            <v>0</v>
          </cell>
        </row>
        <row r="28">
          <cell r="B28" t="str">
            <v>% extra from Hatchery</v>
          </cell>
          <cell r="E28">
            <v>2</v>
          </cell>
          <cell r="F28">
            <v>0</v>
          </cell>
          <cell r="K28">
            <v>0</v>
          </cell>
        </row>
        <row r="29">
          <cell r="B29" t="str">
            <v>Purchased</v>
          </cell>
          <cell r="F29">
            <v>0</v>
          </cell>
        </row>
        <row r="30">
          <cell r="A30" t="str">
            <v>EXPENSES</v>
          </cell>
        </row>
        <row r="31">
          <cell r="A31" t="str">
            <v xml:space="preserve"> Variable Costs:</v>
          </cell>
          <cell r="F31" t="str">
            <v>$/kg</v>
          </cell>
          <cell r="G31" t="str">
            <v xml:space="preserve"> $/Cycle:</v>
          </cell>
          <cell r="H31" t="str">
            <v xml:space="preserve"> $/Year:</v>
          </cell>
        </row>
        <row r="32">
          <cell r="A32" t="str">
            <v xml:space="preserve"> Feed costs:</v>
          </cell>
        </row>
        <row r="33">
          <cell r="A33" t="str">
            <v xml:space="preserve">  Purchased feed</v>
          </cell>
          <cell r="C33">
            <v>0</v>
          </cell>
          <cell r="D33" t="str">
            <v>($'s per tonne)</v>
          </cell>
          <cell r="F33">
            <v>0</v>
          </cell>
          <cell r="G33">
            <v>0</v>
          </cell>
          <cell r="H33">
            <v>0</v>
          </cell>
        </row>
        <row r="34">
          <cell r="A34" t="str">
            <v xml:space="preserve">    kilograms/bird</v>
          </cell>
          <cell r="C34">
            <v>0</v>
          </cell>
          <cell r="D34" t="str">
            <v>(computed)</v>
          </cell>
        </row>
        <row r="35">
          <cell r="A35" t="str">
            <v xml:space="preserve">    tonnes/cycle</v>
          </cell>
          <cell r="C35">
            <v>0</v>
          </cell>
          <cell r="D35" t="str">
            <v>(computed)</v>
          </cell>
        </row>
        <row r="36">
          <cell r="A36" t="str">
            <v xml:space="preserve">    tonnes/year</v>
          </cell>
          <cell r="C36">
            <v>0</v>
          </cell>
          <cell r="D36" t="str">
            <v>(computed)</v>
          </cell>
        </row>
        <row r="37">
          <cell r="A37" t="str">
            <v xml:space="preserve">  Other#1</v>
          </cell>
          <cell r="C37">
            <v>0</v>
          </cell>
          <cell r="D37" t="str">
            <v>(cost per cycle)</v>
          </cell>
          <cell r="F37">
            <v>0</v>
          </cell>
          <cell r="G37">
            <v>0</v>
          </cell>
          <cell r="H37">
            <v>0</v>
          </cell>
        </row>
        <row r="38">
          <cell r="A38" t="str">
            <v xml:space="preserve">  Other#2</v>
          </cell>
          <cell r="C38">
            <v>0</v>
          </cell>
          <cell r="D38" t="str">
            <v>(cost per cycle)</v>
          </cell>
          <cell r="F38">
            <v>0</v>
          </cell>
          <cell r="G38">
            <v>0</v>
          </cell>
          <cell r="H38">
            <v>0</v>
          </cell>
        </row>
        <row r="40">
          <cell r="A40" t="str">
            <v xml:space="preserve">  Homegrown Feed *</v>
          </cell>
        </row>
        <row r="41">
          <cell r="A41" t="str">
            <v xml:space="preserve">    Crop Transfers    (from Transfer Table)</v>
          </cell>
          <cell r="G41">
            <v>0</v>
          </cell>
          <cell r="H41">
            <v>0</v>
          </cell>
          <cell r="I41">
            <v>0</v>
          </cell>
        </row>
        <row r="42">
          <cell r="A42" t="str">
            <v xml:space="preserve">  ------</v>
          </cell>
          <cell r="F42" t="str">
            <v>$/kg</v>
          </cell>
          <cell r="G42" t="str">
            <v xml:space="preserve"> $/Cycle:</v>
          </cell>
          <cell r="H42" t="str">
            <v xml:space="preserve"> $/Year:</v>
          </cell>
        </row>
        <row r="43">
          <cell r="A43" t="str">
            <v xml:space="preserve"> Total Feed Costs</v>
          </cell>
          <cell r="F43">
            <v>0</v>
          </cell>
          <cell r="G43">
            <v>0</v>
          </cell>
          <cell r="H43">
            <v>0</v>
          </cell>
        </row>
        <row r="45">
          <cell r="B45" t="str">
            <v xml:space="preserve">  * (be careful not to include crop costs which</v>
          </cell>
        </row>
        <row r="46">
          <cell r="B46" t="str">
            <v xml:space="preserve">     have already been entered in the transfer table.)</v>
          </cell>
        </row>
        <row r="48">
          <cell r="A48" t="str">
            <v xml:space="preserve"> Expected Yearly Poult Purchases (in dollars)</v>
          </cell>
          <cell r="G48">
            <v>0</v>
          </cell>
          <cell r="H48">
            <v>0</v>
          </cell>
        </row>
        <row r="51">
          <cell r="D51" t="str">
            <v xml:space="preserve"> Unit</v>
          </cell>
          <cell r="E51" t="str">
            <v>Number</v>
          </cell>
          <cell r="F51" t="str">
            <v>$/Unit</v>
          </cell>
          <cell r="G51" t="str">
            <v xml:space="preserve">  $/Cycle:</v>
          </cell>
          <cell r="H51" t="str">
            <v xml:space="preserve">   $/Year</v>
          </cell>
        </row>
        <row r="52">
          <cell r="A52" t="str">
            <v xml:space="preserve"> Hired Labour</v>
          </cell>
          <cell r="D52" t="str">
            <v>hrs</v>
          </cell>
          <cell r="E52">
            <v>0</v>
          </cell>
          <cell r="F52">
            <v>7.75</v>
          </cell>
          <cell r="G52">
            <v>0</v>
          </cell>
          <cell r="H52">
            <v>0</v>
          </cell>
        </row>
        <row r="53">
          <cell r="A53" t="str">
            <v xml:space="preserve"> Catching</v>
          </cell>
          <cell r="D53" t="str">
            <v>kg</v>
          </cell>
          <cell r="E53">
            <v>0</v>
          </cell>
          <cell r="F53">
            <v>9.4000000000000004E-3</v>
          </cell>
          <cell r="G53">
            <v>0</v>
          </cell>
          <cell r="H53">
            <v>0</v>
          </cell>
        </row>
        <row r="54">
          <cell r="A54" t="str">
            <v xml:space="preserve"> Veterinary &amp; Medicine</v>
          </cell>
          <cell r="D54" t="str">
            <v>kg</v>
          </cell>
          <cell r="E54">
            <v>0</v>
          </cell>
          <cell r="F54">
            <v>0.01</v>
          </cell>
          <cell r="G54">
            <v>0</v>
          </cell>
          <cell r="H54">
            <v>0</v>
          </cell>
        </row>
        <row r="55">
          <cell r="A55" t="str">
            <v xml:space="preserve"> Bedding</v>
          </cell>
          <cell r="D55" t="str">
            <v>kg</v>
          </cell>
          <cell r="E55">
            <v>0</v>
          </cell>
          <cell r="F55">
            <v>0.02</v>
          </cell>
          <cell r="G55">
            <v>0</v>
          </cell>
          <cell r="H55">
            <v>0</v>
          </cell>
        </row>
        <row r="56">
          <cell r="A56" t="str">
            <v xml:space="preserve"> Levies - Ontario</v>
          </cell>
          <cell r="D56" t="str">
            <v>kg</v>
          </cell>
          <cell r="E56">
            <v>0</v>
          </cell>
          <cell r="F56">
            <v>1.0999999999999999E-2</v>
          </cell>
          <cell r="G56">
            <v>0</v>
          </cell>
          <cell r="H56">
            <v>0</v>
          </cell>
        </row>
        <row r="57">
          <cell r="A57" t="str">
            <v xml:space="preserve"> Levies - CTMA</v>
          </cell>
          <cell r="D57" t="str">
            <v>kg</v>
          </cell>
          <cell r="E57">
            <v>0</v>
          </cell>
          <cell r="F57">
            <v>1.2999999999999999E-2</v>
          </cell>
          <cell r="G57">
            <v>0</v>
          </cell>
          <cell r="H57">
            <v>0</v>
          </cell>
          <cell r="K57" t="str">
            <v>Wfarm!L4</v>
          </cell>
        </row>
        <row r="58">
          <cell r="A58" t="str">
            <v xml:space="preserve"> Transportation</v>
          </cell>
          <cell r="D58" t="str">
            <v>kg</v>
          </cell>
          <cell r="E58">
            <v>0</v>
          </cell>
          <cell r="F58">
            <v>8.9999999999999993E-3</v>
          </cell>
          <cell r="G58">
            <v>0</v>
          </cell>
          <cell r="H58">
            <v>0</v>
          </cell>
          <cell r="K58" t="str">
            <v>Wfarm!L5</v>
          </cell>
        </row>
        <row r="59">
          <cell r="A59" t="str">
            <v xml:space="preserve"> Heat</v>
          </cell>
          <cell r="D59" t="str">
            <v>kg</v>
          </cell>
          <cell r="E59">
            <v>0</v>
          </cell>
          <cell r="F59">
            <v>0.05</v>
          </cell>
          <cell r="G59">
            <v>0</v>
          </cell>
          <cell r="H59">
            <v>0</v>
          </cell>
          <cell r="K59" t="str">
            <v>Wfarm!L6</v>
          </cell>
        </row>
        <row r="60">
          <cell r="A60" t="str">
            <v xml:space="preserve"> Custom Work</v>
          </cell>
          <cell r="D60" t="str">
            <v>$</v>
          </cell>
          <cell r="E60">
            <v>0</v>
          </cell>
          <cell r="F60">
            <v>0</v>
          </cell>
          <cell r="G60">
            <v>0</v>
          </cell>
          <cell r="H60">
            <v>0</v>
          </cell>
          <cell r="K60" t="str">
            <v>Wfarm!L7</v>
          </cell>
        </row>
        <row r="61">
          <cell r="A61" t="str">
            <v xml:space="preserve"> Insurance</v>
          </cell>
          <cell r="D61" t="str">
            <v>kg</v>
          </cell>
          <cell r="E61">
            <v>0</v>
          </cell>
          <cell r="F61">
            <v>0.01</v>
          </cell>
          <cell r="G61">
            <v>0</v>
          </cell>
          <cell r="H61">
            <v>0</v>
          </cell>
          <cell r="K61" t="str">
            <v>Wfarm!L8</v>
          </cell>
        </row>
        <row r="62">
          <cell r="A62" t="str">
            <v xml:space="preserve"> Miscellaneous </v>
          </cell>
          <cell r="D62" t="str">
            <v>$</v>
          </cell>
          <cell r="E62">
            <v>1</v>
          </cell>
          <cell r="F62">
            <v>0</v>
          </cell>
          <cell r="G62">
            <v>0</v>
          </cell>
          <cell r="H62">
            <v>0</v>
          </cell>
        </row>
        <row r="64">
          <cell r="D64" t="str">
            <v>Typical</v>
          </cell>
          <cell r="E64" t="str">
            <v xml:space="preserve"> Enterprise</v>
          </cell>
          <cell r="J64">
            <v>0</v>
          </cell>
          <cell r="K64" t="str">
            <v>Wfarm!L9</v>
          </cell>
        </row>
        <row r="65">
          <cell r="C65" t="str">
            <v xml:space="preserve">       $/kg</v>
          </cell>
          <cell r="E65" t="str">
            <v xml:space="preserve"> $ Allocated:</v>
          </cell>
          <cell r="G65" t="str">
            <v xml:space="preserve">  $/Cycle:</v>
          </cell>
          <cell r="H65" t="str">
            <v xml:space="preserve">   $/Year</v>
          </cell>
        </row>
        <row r="66">
          <cell r="A66" t="str">
            <v xml:space="preserve"> Fuel</v>
          </cell>
          <cell r="D66">
            <v>8.0000000000000002E-3</v>
          </cell>
          <cell r="E66">
            <v>0</v>
          </cell>
          <cell r="G66">
            <v>0</v>
          </cell>
          <cell r="H66">
            <v>0</v>
          </cell>
        </row>
        <row r="67">
          <cell r="A67" t="str">
            <v xml:space="preserve"> Mach. Repair &amp; Maint.</v>
          </cell>
          <cell r="D67">
            <v>0.03</v>
          </cell>
          <cell r="E67">
            <v>0</v>
          </cell>
          <cell r="G67">
            <v>0</v>
          </cell>
          <cell r="H67">
            <v>0</v>
          </cell>
        </row>
        <row r="68">
          <cell r="A68" t="str">
            <v xml:space="preserve"> Bldg. Repair &amp; Maint.</v>
          </cell>
          <cell r="D68">
            <v>0.02</v>
          </cell>
          <cell r="E68">
            <v>0</v>
          </cell>
          <cell r="G68">
            <v>0</v>
          </cell>
          <cell r="H68">
            <v>0</v>
          </cell>
        </row>
        <row r="69">
          <cell r="A69" t="str">
            <v xml:space="preserve"> Rent and Labour</v>
          </cell>
          <cell r="D69">
            <v>8.0000000000000002E-3</v>
          </cell>
          <cell r="E69">
            <v>0</v>
          </cell>
          <cell r="G69">
            <v>0</v>
          </cell>
          <cell r="H69">
            <v>0</v>
          </cell>
        </row>
        <row r="70">
          <cell r="A70" t="str">
            <v xml:space="preserve"> General Variable Costs</v>
          </cell>
          <cell r="D70">
            <v>8.0000000000000002E-3</v>
          </cell>
          <cell r="E70">
            <v>0</v>
          </cell>
          <cell r="G70">
            <v>0</v>
          </cell>
          <cell r="H70">
            <v>0</v>
          </cell>
        </row>
        <row r="72">
          <cell r="A72" t="str">
            <v>Interest on</v>
          </cell>
          <cell r="C72" t="str">
            <v>% Int.</v>
          </cell>
          <cell r="D72" t="str">
            <v>% Year</v>
          </cell>
          <cell r="K72" t="str">
            <v>Wfarm!K4</v>
          </cell>
        </row>
        <row r="73">
          <cell r="A73" t="str">
            <v>Operating Capital</v>
          </cell>
          <cell r="C73">
            <v>10</v>
          </cell>
          <cell r="D73">
            <v>50</v>
          </cell>
          <cell r="E73">
            <v>0</v>
          </cell>
          <cell r="G73">
            <v>0</v>
          </cell>
          <cell r="H73">
            <v>0</v>
          </cell>
          <cell r="K73" t="str">
            <v>Wfarm!K5</v>
          </cell>
        </row>
        <row r="74">
          <cell r="K74" t="str">
            <v>Wfarm!K6</v>
          </cell>
        </row>
        <row r="75">
          <cell r="A75" t="str">
            <v>Total Variable Costs</v>
          </cell>
          <cell r="D75">
            <v>0</v>
          </cell>
          <cell r="G75">
            <v>0</v>
          </cell>
          <cell r="H75">
            <v>0</v>
          </cell>
          <cell r="K75" t="str">
            <v>Wfarm!K7</v>
          </cell>
        </row>
        <row r="77">
          <cell r="D77" t="str">
            <v>Typical</v>
          </cell>
          <cell r="E77" t="str">
            <v xml:space="preserve"> Enterprise</v>
          </cell>
        </row>
        <row r="78">
          <cell r="A78" t="str">
            <v>Fixed Costs:</v>
          </cell>
          <cell r="D78" t="str">
            <v>$/kg</v>
          </cell>
          <cell r="E78" t="str">
            <v xml:space="preserve"> $ Allocated:</v>
          </cell>
          <cell r="G78" t="str">
            <v xml:space="preserve">  $/Cycle:</v>
          </cell>
          <cell r="H78" t="str">
            <v xml:space="preserve">   $/Year</v>
          </cell>
        </row>
        <row r="79">
          <cell r="A79" t="str">
            <v xml:space="preserve"> Depreciation</v>
          </cell>
          <cell r="D79">
            <v>0.08</v>
          </cell>
          <cell r="E79">
            <v>0</v>
          </cell>
          <cell r="G79">
            <v>0</v>
          </cell>
          <cell r="H79">
            <v>0</v>
          </cell>
        </row>
        <row r="80">
          <cell r="A80" t="str">
            <v xml:space="preserve"> Interest on Term Loans</v>
          </cell>
          <cell r="D80">
            <v>0.04</v>
          </cell>
          <cell r="E80">
            <v>0</v>
          </cell>
          <cell r="G80">
            <v>0</v>
          </cell>
          <cell r="H80">
            <v>0</v>
          </cell>
        </row>
        <row r="81">
          <cell r="A81" t="str">
            <v xml:space="preserve"> Long-term Leases</v>
          </cell>
          <cell r="D81">
            <v>0.01</v>
          </cell>
          <cell r="E81">
            <v>0</v>
          </cell>
          <cell r="G81">
            <v>0</v>
          </cell>
          <cell r="H81">
            <v>0</v>
          </cell>
        </row>
        <row r="82">
          <cell r="A82" t="str">
            <v xml:space="preserve"> General Fixed Costs</v>
          </cell>
          <cell r="D82">
            <v>0.02</v>
          </cell>
          <cell r="E82">
            <v>0</v>
          </cell>
          <cell r="G82">
            <v>0</v>
          </cell>
          <cell r="H82">
            <v>0</v>
          </cell>
        </row>
        <row r="84">
          <cell r="A84" t="str">
            <v>Total Fixed Costs</v>
          </cell>
          <cell r="D84">
            <v>0</v>
          </cell>
          <cell r="G84">
            <v>0</v>
          </cell>
          <cell r="H84">
            <v>0</v>
          </cell>
        </row>
        <row r="87">
          <cell r="A87" t="str">
            <v>Revenues:</v>
          </cell>
          <cell r="E87" t="str">
            <v>$/kg.</v>
          </cell>
          <cell r="F87" t="str">
            <v>$/Cycle</v>
          </cell>
          <cell r="G87" t="str">
            <v>$/Year</v>
          </cell>
        </row>
        <row r="88">
          <cell r="A88" t="str">
            <v>Total Expected Revenues</v>
          </cell>
          <cell r="E88">
            <v>0</v>
          </cell>
          <cell r="F88">
            <v>0</v>
          </cell>
          <cell r="G88">
            <v>0</v>
          </cell>
        </row>
        <row r="89">
          <cell r="A89" t="str">
            <v xml:space="preserve">    less: Feed and Chick Costs</v>
          </cell>
          <cell r="E89">
            <v>0</v>
          </cell>
          <cell r="F89">
            <v>0</v>
          </cell>
          <cell r="G89">
            <v>0</v>
          </cell>
        </row>
        <row r="91">
          <cell r="A91" t="str">
            <v>NET of FEED &amp; CHICK Costs:</v>
          </cell>
          <cell r="E91">
            <v>0</v>
          </cell>
          <cell r="F91">
            <v>0</v>
          </cell>
          <cell r="G91">
            <v>0</v>
          </cell>
        </row>
        <row r="92">
          <cell r="A92" t="str">
            <v xml:space="preserve">    less: Remaining Variable Costs</v>
          </cell>
          <cell r="E92">
            <v>0</v>
          </cell>
          <cell r="F92">
            <v>0</v>
          </cell>
          <cell r="G92">
            <v>0</v>
          </cell>
        </row>
        <row r="94">
          <cell r="A94" t="str">
            <v>Expected Operating Margin</v>
          </cell>
          <cell r="E94">
            <v>0</v>
          </cell>
          <cell r="F94">
            <v>0</v>
          </cell>
          <cell r="G94">
            <v>0</v>
          </cell>
        </row>
        <row r="95">
          <cell r="A95" t="str">
            <v xml:space="preserve">    less: Fixed Costs</v>
          </cell>
          <cell r="E95">
            <v>0</v>
          </cell>
          <cell r="F95">
            <v>0</v>
          </cell>
          <cell r="G95">
            <v>0</v>
          </cell>
        </row>
        <row r="97">
          <cell r="A97" t="str">
            <v>Expected Net Revenue</v>
          </cell>
          <cell r="E97">
            <v>0</v>
          </cell>
          <cell r="F97">
            <v>0</v>
          </cell>
          <cell r="G97">
            <v>0</v>
          </cell>
        </row>
        <row r="101">
          <cell r="A101" t="str">
            <v>Expected break-even dollars per kilogram</v>
          </cell>
        </row>
        <row r="102">
          <cell r="A102" t="str">
            <v>for birds sold; needed to cover:</v>
          </cell>
          <cell r="E102" t="str">
            <v>Variable Costs</v>
          </cell>
          <cell r="G102">
            <v>0</v>
          </cell>
        </row>
        <row r="103">
          <cell r="E103" t="str">
            <v>Fixed Costs</v>
          </cell>
          <cell r="G103">
            <v>0</v>
          </cell>
        </row>
        <row r="105">
          <cell r="E105" t="str">
            <v>Total Costs</v>
          </cell>
          <cell r="G105">
            <v>0</v>
          </cell>
        </row>
        <row r="106">
          <cell r="A106" t="str">
            <v>=</v>
          </cell>
          <cell r="B106" t="str">
            <v>=</v>
          </cell>
          <cell r="C106" t="str">
            <v>=</v>
          </cell>
          <cell r="D106" t="str">
            <v>=</v>
          </cell>
          <cell r="E106" t="str">
            <v>=</v>
          </cell>
          <cell r="F106" t="str">
            <v>=</v>
          </cell>
          <cell r="G106" t="str">
            <v>=</v>
          </cell>
          <cell r="H106" t="str">
            <v>=</v>
          </cell>
        </row>
        <row r="107">
          <cell r="H107" t="str">
            <v>StdPf</v>
          </cell>
          <cell r="I107">
            <v>0</v>
          </cell>
          <cell r="J107" t="str">
            <v xml:space="preserve"> +profit</v>
          </cell>
        </row>
        <row r="108">
          <cell r="B108" t="str">
            <v>Chance of at least breaking even       ==&gt;</v>
          </cell>
          <cell r="G108">
            <v>0</v>
          </cell>
          <cell r="H108" t="str">
            <v>StdQf</v>
          </cell>
          <cell r="I108">
            <v>0</v>
          </cell>
          <cell r="J108">
            <v>0</v>
          </cell>
        </row>
        <row r="109">
          <cell r="B109" t="str">
            <v>Chance of at least</v>
          </cell>
          <cell r="D109">
            <v>0</v>
          </cell>
          <cell r="E109" t="str">
            <v>$/cycle retn==&gt;</v>
          </cell>
          <cell r="G109">
            <v>0</v>
          </cell>
          <cell r="H109" t="str">
            <v>StdPe</v>
          </cell>
          <cell r="I109">
            <v>0</v>
          </cell>
          <cell r="J109">
            <v>0</v>
          </cell>
        </row>
        <row r="110">
          <cell r="B110" t="str">
            <v>Coefficient of variation               ==&gt;</v>
          </cell>
          <cell r="G110">
            <v>0</v>
          </cell>
          <cell r="H110" t="str">
            <v>StdQe</v>
          </cell>
          <cell r="I110">
            <v>0</v>
          </cell>
          <cell r="J110">
            <v>0</v>
          </cell>
        </row>
        <row r="111">
          <cell r="H111" t="str">
            <v>Var(PeQe)</v>
          </cell>
          <cell r="I111">
            <v>0</v>
          </cell>
          <cell r="J111">
            <v>0</v>
          </cell>
        </row>
        <row r="112">
          <cell r="C112" t="str">
            <v xml:space="preserve">      Returns</v>
          </cell>
          <cell r="E112" t="str">
            <v xml:space="preserve">        Chances of at least</v>
          </cell>
          <cell r="H112" t="str">
            <v>Var(PbQb)</v>
          </cell>
          <cell r="I112">
            <v>0</v>
          </cell>
        </row>
        <row r="113">
          <cell r="C113" t="str">
            <v>$/kg</v>
          </cell>
          <cell r="D113" t="str">
            <v>$/cycle</v>
          </cell>
          <cell r="F113" t="str">
            <v>this return per kg</v>
          </cell>
          <cell r="H113" t="str">
            <v>Var(PfQf)</v>
          </cell>
          <cell r="I113">
            <v>0</v>
          </cell>
        </row>
        <row r="114">
          <cell r="H114" t="str">
            <v>SumStd</v>
          </cell>
          <cell r="I114">
            <v>0</v>
          </cell>
        </row>
        <row r="115">
          <cell r="C115">
            <v>0</v>
          </cell>
          <cell r="D115">
            <v>0</v>
          </cell>
          <cell r="F115" t="str">
            <v xml:space="preserve">       17 %</v>
          </cell>
          <cell r="H115" t="str">
            <v>KgStd</v>
          </cell>
          <cell r="I115">
            <v>0</v>
          </cell>
        </row>
        <row r="116">
          <cell r="C116">
            <v>0</v>
          </cell>
          <cell r="D116">
            <v>0</v>
          </cell>
          <cell r="F116" t="str">
            <v xml:space="preserve">       33 %</v>
          </cell>
          <cell r="H116" t="str">
            <v>CycleStd</v>
          </cell>
          <cell r="I116">
            <v>0</v>
          </cell>
        </row>
        <row r="117">
          <cell r="C117">
            <v>0</v>
          </cell>
          <cell r="D117">
            <v>0</v>
          </cell>
          <cell r="F117" t="str">
            <v xml:space="preserve">       50 %</v>
          </cell>
          <cell r="I117" t="str">
            <v xml:space="preserve"> +b.e.</v>
          </cell>
        </row>
        <row r="118">
          <cell r="C118">
            <v>0</v>
          </cell>
          <cell r="D118">
            <v>0</v>
          </cell>
          <cell r="F118" t="str">
            <v xml:space="preserve">       67 %</v>
          </cell>
          <cell r="H118" t="str">
            <v>z</v>
          </cell>
          <cell r="I118">
            <v>0</v>
          </cell>
        </row>
        <row r="119">
          <cell r="C119">
            <v>0</v>
          </cell>
          <cell r="D119">
            <v>0</v>
          </cell>
          <cell r="F119" t="str">
            <v xml:space="preserve">       83 %</v>
          </cell>
          <cell r="H119" t="str">
            <v>v1</v>
          </cell>
          <cell r="I119">
            <v>0</v>
          </cell>
        </row>
        <row r="120">
          <cell r="H120" t="str">
            <v>v2</v>
          </cell>
          <cell r="I120">
            <v>0</v>
          </cell>
        </row>
        <row r="121">
          <cell r="D121" t="str">
            <v xml:space="preserve"> - End of Budget -</v>
          </cell>
          <cell r="H121" t="str">
            <v>p(vx)</v>
          </cell>
          <cell r="I121">
            <v>0</v>
          </cell>
        </row>
        <row r="122">
          <cell r="A122" t="str">
            <v>=</v>
          </cell>
          <cell r="B122" t="str">
            <v>=</v>
          </cell>
          <cell r="C122" t="str">
            <v>=</v>
          </cell>
          <cell r="D122" t="str">
            <v>=</v>
          </cell>
          <cell r="E122" t="str">
            <v>=</v>
          </cell>
          <cell r="F122" t="str">
            <v>=</v>
          </cell>
          <cell r="G122" t="str">
            <v>=</v>
          </cell>
          <cell r="H122"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YER"/>
    </sheetNames>
    <sheetDataSet>
      <sheetData sheetId="0" refreshError="1">
        <row r="1">
          <cell r="A1" t="str">
            <v>Layer 1</v>
          </cell>
          <cell r="C1" t="str">
            <v>LAYER ENTERPRISE BUDGET</v>
          </cell>
          <cell r="F1" t="str">
            <v>Revised: May '98</v>
          </cell>
        </row>
        <row r="2">
          <cell r="A2">
            <v>352</v>
          </cell>
          <cell r="E2" t="str">
            <v xml:space="preserve"> Profit per Dozen: </v>
          </cell>
          <cell r="G2" t="e">
            <v>#REF!</v>
          </cell>
        </row>
        <row r="3">
          <cell r="A3" t="str">
            <v>Bird Quota</v>
          </cell>
          <cell r="E3">
            <v>15000</v>
          </cell>
          <cell r="F3" t="str">
            <v>Units</v>
          </cell>
        </row>
        <row r="4">
          <cell r="A4" t="str">
            <v>Additional quota units per cycle</v>
          </cell>
          <cell r="E4">
            <v>0</v>
          </cell>
          <cell r="F4" t="str">
            <v>Units</v>
          </cell>
          <cell r="K4">
            <v>4.3679999999999997E-2</v>
          </cell>
        </row>
        <row r="5">
          <cell r="A5" t="str">
            <v>Death loss (laying flock) %</v>
          </cell>
          <cell r="E5">
            <v>6</v>
          </cell>
        </row>
        <row r="6">
          <cell r="A6" t="str">
            <v>Number of Flocks</v>
          </cell>
          <cell r="E6">
            <v>2</v>
          </cell>
        </row>
        <row r="7">
          <cell r="A7" t="str">
            <v>Number of weeks per cycle</v>
          </cell>
          <cell r="E7">
            <v>52</v>
          </cell>
          <cell r="F7" t="str">
            <v>weeks</v>
          </cell>
        </row>
        <row r="8">
          <cell r="A8" t="str">
            <v>Average Number of Laying Hens</v>
          </cell>
          <cell r="E8">
            <v>14775</v>
          </cell>
        </row>
        <row r="10">
          <cell r="E10" t="str">
            <v xml:space="preserve">     Opt.</v>
          </cell>
          <cell r="F10" t="str">
            <v xml:space="preserve">  Expected   Pess.</v>
          </cell>
        </row>
        <row r="11">
          <cell r="A11" t="str">
            <v>Pullet cost ($/pullet)</v>
          </cell>
          <cell r="E11">
            <v>3.75</v>
          </cell>
          <cell r="F11">
            <v>4</v>
          </cell>
          <cell r="G11">
            <v>4.25</v>
          </cell>
        </row>
        <row r="12">
          <cell r="A12" t="str">
            <v>Bird Productivity (total eggs/hen)</v>
          </cell>
          <cell r="E12">
            <v>300</v>
          </cell>
          <cell r="F12">
            <v>288</v>
          </cell>
          <cell r="G12">
            <v>276</v>
          </cell>
        </row>
        <row r="13">
          <cell r="A13" t="str">
            <v>Average Price per Dozen Eggs</v>
          </cell>
          <cell r="E13">
            <v>1.31</v>
          </cell>
          <cell r="F13">
            <v>1.26</v>
          </cell>
          <cell r="G13">
            <v>1.21</v>
          </cell>
        </row>
        <row r="14">
          <cell r="A14" t="str">
            <v>Feed Conversion (Kg per Dozen)</v>
          </cell>
          <cell r="E14">
            <v>1.54</v>
          </cell>
          <cell r="F14">
            <v>1.57</v>
          </cell>
          <cell r="G14">
            <v>1.6</v>
          </cell>
          <cell r="K14">
            <v>0</v>
          </cell>
        </row>
        <row r="15">
          <cell r="A15" t="str">
            <v>Purchased feed price ($'s per tonne)</v>
          </cell>
          <cell r="E15">
            <v>200</v>
          </cell>
          <cell r="F15">
            <v>222</v>
          </cell>
          <cell r="G15">
            <v>240</v>
          </cell>
          <cell r="K15" t="e">
            <v>#REF!</v>
          </cell>
        </row>
        <row r="16">
          <cell r="A16" t="str">
            <v>Salvage Value of Spent Hen ($/Hen)</v>
          </cell>
          <cell r="E16">
            <v>0.17</v>
          </cell>
          <cell r="F16">
            <v>0.15</v>
          </cell>
          <cell r="G16">
            <v>0.12</v>
          </cell>
          <cell r="K16" t="e">
            <v>#REF!</v>
          </cell>
        </row>
        <row r="17">
          <cell r="K17">
            <v>449012.25</v>
          </cell>
        </row>
        <row r="18">
          <cell r="A18" t="str">
            <v>Egg Production per bird (dozen)</v>
          </cell>
          <cell r="E18">
            <v>25</v>
          </cell>
          <cell r="F18">
            <v>24</v>
          </cell>
          <cell r="G18">
            <v>23</v>
          </cell>
          <cell r="K18">
            <v>26593.828301461213</v>
          </cell>
        </row>
        <row r="19">
          <cell r="A19" t="str">
            <v>Total Flock Production (dozen)</v>
          </cell>
          <cell r="E19">
            <v>369375</v>
          </cell>
          <cell r="F19">
            <v>354600</v>
          </cell>
          <cell r="G19">
            <v>339825</v>
          </cell>
        </row>
        <row r="20">
          <cell r="A20" t="str">
            <v>Gross Revenue From Egg Sales</v>
          </cell>
          <cell r="E20">
            <v>483881.25</v>
          </cell>
          <cell r="F20">
            <v>446796</v>
          </cell>
          <cell r="G20">
            <v>411188.25</v>
          </cell>
          <cell r="K20" t="str">
            <v>Tran!D3..G14</v>
          </cell>
        </row>
        <row r="21">
          <cell r="A21" t="str">
            <v>Gross Revenue From Spent Hens</v>
          </cell>
          <cell r="E21">
            <v>2511.75</v>
          </cell>
          <cell r="F21">
            <v>2216.25</v>
          </cell>
          <cell r="G21">
            <v>1773</v>
          </cell>
          <cell r="K21" t="str">
            <v>Allo!C3..J14</v>
          </cell>
        </row>
        <row r="22">
          <cell r="K22">
            <v>14775</v>
          </cell>
        </row>
        <row r="23">
          <cell r="A23" t="str">
            <v>=</v>
          </cell>
          <cell r="B23" t="str">
            <v>=</v>
          </cell>
          <cell r="C23" t="str">
            <v>=</v>
          </cell>
          <cell r="D23" t="str">
            <v>=</v>
          </cell>
          <cell r="E23" t="str">
            <v>=</v>
          </cell>
          <cell r="F23" t="str">
            <v>=</v>
          </cell>
          <cell r="G23" t="str">
            <v>=</v>
          </cell>
          <cell r="H23" t="str">
            <v>=</v>
          </cell>
          <cell r="I23" t="str">
            <v>=</v>
          </cell>
          <cell r="K23">
            <v>60900</v>
          </cell>
        </row>
        <row r="24">
          <cell r="A24" t="str">
            <v>Variable Costs:</v>
          </cell>
          <cell r="F24" t="str">
            <v>$ per</v>
          </cell>
          <cell r="G24" t="str">
            <v>$ per</v>
          </cell>
          <cell r="H24" t="str">
            <v>$ per</v>
          </cell>
          <cell r="K24">
            <v>123592.284</v>
          </cell>
        </row>
        <row r="25">
          <cell r="F25" t="str">
            <v>Dozen:</v>
          </cell>
          <cell r="G25" t="str">
            <v>Cycle:</v>
          </cell>
          <cell r="H25" t="str">
            <v>Year</v>
          </cell>
          <cell r="K25">
            <v>1000</v>
          </cell>
        </row>
        <row r="26">
          <cell r="A26" t="str">
            <v xml:space="preserve"> Feed costs:</v>
          </cell>
          <cell r="K26">
            <v>12750</v>
          </cell>
        </row>
        <row r="27">
          <cell r="A27" t="str">
            <v>Purchased feed</v>
          </cell>
          <cell r="C27">
            <v>222</v>
          </cell>
          <cell r="D27" t="str">
            <v>($'s per tonne)</v>
          </cell>
          <cell r="F27">
            <v>0.34854000000000002</v>
          </cell>
          <cell r="G27">
            <v>123592.284</v>
          </cell>
          <cell r="H27">
            <v>123592.284</v>
          </cell>
          <cell r="K27">
            <v>76756.800000000003</v>
          </cell>
        </row>
        <row r="28">
          <cell r="A28" t="str">
            <v xml:space="preserve">  kilograms/bird</v>
          </cell>
          <cell r="C28">
            <v>37.68</v>
          </cell>
          <cell r="D28" t="str">
            <v>(computed)</v>
          </cell>
          <cell r="K28">
            <v>0</v>
          </cell>
        </row>
        <row r="29">
          <cell r="A29" t="str">
            <v xml:space="preserve">  tonnes/cycle</v>
          </cell>
          <cell r="C29">
            <v>556.72199999999998</v>
          </cell>
          <cell r="D29" t="str">
            <v>(computed)</v>
          </cell>
        </row>
        <row r="30">
          <cell r="A30" t="str">
            <v xml:space="preserve">  tonnes/year</v>
          </cell>
          <cell r="C30">
            <v>556.72199999999998</v>
          </cell>
          <cell r="D30" t="str">
            <v>(computed)</v>
          </cell>
        </row>
        <row r="31">
          <cell r="A31" t="str">
            <v xml:space="preserve"> Other1</v>
          </cell>
          <cell r="C31">
            <v>0</v>
          </cell>
          <cell r="D31" t="str">
            <v>(cost per cycle)</v>
          </cell>
          <cell r="F31">
            <v>0</v>
          </cell>
          <cell r="G31">
            <v>0</v>
          </cell>
          <cell r="H31">
            <v>0</v>
          </cell>
        </row>
        <row r="32">
          <cell r="A32" t="str">
            <v xml:space="preserve"> Other2</v>
          </cell>
          <cell r="C32">
            <v>0</v>
          </cell>
          <cell r="D32" t="str">
            <v>(cost per cycle)</v>
          </cell>
          <cell r="F32">
            <v>0</v>
          </cell>
          <cell r="G32">
            <v>0</v>
          </cell>
          <cell r="H32">
            <v>0</v>
          </cell>
        </row>
        <row r="33">
          <cell r="A33" t="str">
            <v xml:space="preserve">  Crop Transfers *</v>
          </cell>
          <cell r="F33" t="e">
            <v>#REF!</v>
          </cell>
          <cell r="G33" t="e">
            <v>#REF!</v>
          </cell>
          <cell r="H33" t="e">
            <v>#REF!</v>
          </cell>
        </row>
        <row r="34">
          <cell r="A34" t="str">
            <v xml:space="preserve">  -------</v>
          </cell>
          <cell r="F34" t="str">
            <v>-------</v>
          </cell>
          <cell r="G34" t="str">
            <v>-------</v>
          </cell>
          <cell r="H34" t="str">
            <v>-------</v>
          </cell>
        </row>
        <row r="35">
          <cell r="A35" t="str">
            <v xml:space="preserve">  Total Feed Costs</v>
          </cell>
          <cell r="F35" t="e">
            <v>#REF!</v>
          </cell>
          <cell r="G35" t="e">
            <v>#REF!</v>
          </cell>
          <cell r="H35" t="e">
            <v>#REF!</v>
          </cell>
        </row>
        <row r="36">
          <cell r="A36" t="str">
            <v xml:space="preserve">   * be careful not to double count crop </v>
          </cell>
        </row>
        <row r="37">
          <cell r="A37" t="str">
            <v xml:space="preserve">     transfers</v>
          </cell>
        </row>
        <row r="38">
          <cell r="A38" t="str">
            <v xml:space="preserve"> Number of Pullets Purchased</v>
          </cell>
          <cell r="E38">
            <v>15225</v>
          </cell>
        </row>
        <row r="39">
          <cell r="A39" t="str">
            <v xml:space="preserve"> Expected Pullet Purchases at:</v>
          </cell>
          <cell r="E39">
            <v>4</v>
          </cell>
          <cell r="F39">
            <v>0.17174280879864637</v>
          </cell>
          <cell r="G39">
            <v>60900</v>
          </cell>
          <cell r="H39">
            <v>60900</v>
          </cell>
        </row>
        <row r="42">
          <cell r="C42" t="str">
            <v xml:space="preserve">          Comparison</v>
          </cell>
          <cell r="F42" t="str">
            <v xml:space="preserve">  Actual</v>
          </cell>
        </row>
        <row r="43">
          <cell r="D43" t="str">
            <v xml:space="preserve"> $/Dozen</v>
          </cell>
          <cell r="F43" t="str">
            <v>$/Dozen:</v>
          </cell>
          <cell r="G43" t="str">
            <v>$/Cycle:</v>
          </cell>
          <cell r="H43" t="str">
            <v>$/Year:</v>
          </cell>
        </row>
        <row r="44">
          <cell r="A44" t="str">
            <v xml:space="preserve"> Veterinary &amp; Medicine</v>
          </cell>
          <cell r="D44">
            <v>2E-3</v>
          </cell>
          <cell r="F44">
            <v>2.8200789622109417E-3</v>
          </cell>
          <cell r="G44">
            <v>1000</v>
          </cell>
          <cell r="H44">
            <v>1000</v>
          </cell>
        </row>
        <row r="45">
          <cell r="A45" t="str">
            <v xml:space="preserve"> Heat and Hydro</v>
          </cell>
          <cell r="D45">
            <v>0.03</v>
          </cell>
          <cell r="F45">
            <v>2.7495769881556685E-2</v>
          </cell>
          <cell r="G45">
            <v>9750</v>
          </cell>
          <cell r="H45">
            <v>9750</v>
          </cell>
        </row>
        <row r="46">
          <cell r="A46" t="str">
            <v xml:space="preserve"> Insurance </v>
          </cell>
          <cell r="D46">
            <v>5.0000000000000001E-3</v>
          </cell>
          <cell r="F46">
            <v>4.2301184433164128E-3</v>
          </cell>
          <cell r="G46">
            <v>1500</v>
          </cell>
          <cell r="H46">
            <v>1500</v>
          </cell>
        </row>
        <row r="47">
          <cell r="A47" t="str">
            <v xml:space="preserve"> Trucking</v>
          </cell>
          <cell r="D47">
            <v>0.01</v>
          </cell>
          <cell r="F47">
            <v>8.4602368866328256E-3</v>
          </cell>
          <cell r="G47">
            <v>3000</v>
          </cell>
          <cell r="H47">
            <v>3000</v>
          </cell>
        </row>
        <row r="48">
          <cell r="A48" t="str">
            <v xml:space="preserve"> Bedding:units/day</v>
          </cell>
          <cell r="C48">
            <v>0</v>
          </cell>
        </row>
        <row r="49">
          <cell r="B49" t="str">
            <v>$'s/unit</v>
          </cell>
          <cell r="C49">
            <v>10</v>
          </cell>
          <cell r="D49">
            <v>0</v>
          </cell>
          <cell r="F49">
            <v>0</v>
          </cell>
          <cell r="G49">
            <v>0</v>
          </cell>
          <cell r="H49">
            <v>0</v>
          </cell>
        </row>
        <row r="51">
          <cell r="A51" t="str">
            <v xml:space="preserve"> Other (Miscellaneous)</v>
          </cell>
          <cell r="D51">
            <v>0.1</v>
          </cell>
          <cell r="F51">
            <v>4.2301184433164128E-3</v>
          </cell>
          <cell r="G51">
            <v>1500</v>
          </cell>
          <cell r="H51">
            <v>1500</v>
          </cell>
        </row>
        <row r="52">
          <cell r="A52" t="str">
            <v xml:space="preserve"> Marketing Board Fees</v>
          </cell>
          <cell r="F52">
            <v>0.20799999999999999</v>
          </cell>
          <cell r="G52">
            <v>73756.800000000003</v>
          </cell>
          <cell r="H52">
            <v>73756.800000000003</v>
          </cell>
        </row>
        <row r="53">
          <cell r="A53" t="str">
            <v xml:space="preserve"> Custom Work</v>
          </cell>
          <cell r="D53">
            <v>0</v>
          </cell>
          <cell r="F53">
            <v>0</v>
          </cell>
          <cell r="G53">
            <v>0</v>
          </cell>
          <cell r="H53">
            <v>0</v>
          </cell>
        </row>
        <row r="55">
          <cell r="C55" t="str">
            <v xml:space="preserve">     Comparison  Enterprise</v>
          </cell>
        </row>
        <row r="56">
          <cell r="C56" t="str">
            <v xml:space="preserve">     $/Dozen:  $ Allocated:</v>
          </cell>
          <cell r="F56" t="str">
            <v>$/Dozen:</v>
          </cell>
          <cell r="G56" t="str">
            <v>$/Cycle:</v>
          </cell>
          <cell r="H56" t="str">
            <v>$/Year:</v>
          </cell>
        </row>
        <row r="57">
          <cell r="A57" t="str">
            <v xml:space="preserve"> Fuel</v>
          </cell>
          <cell r="D57">
            <v>0.01</v>
          </cell>
          <cell r="E57" t="e">
            <v>#REF!</v>
          </cell>
          <cell r="F57" t="e">
            <v>#REF!</v>
          </cell>
          <cell r="G57" t="e">
            <v>#REF!</v>
          </cell>
          <cell r="H57" t="e">
            <v>#REF!</v>
          </cell>
          <cell r="K57" t="str">
            <v>Wfarm!L4</v>
          </cell>
        </row>
        <row r="58">
          <cell r="A58" t="str">
            <v xml:space="preserve"> Mach. Repair &amp; Maint.</v>
          </cell>
          <cell r="D58">
            <v>0.01</v>
          </cell>
          <cell r="E58" t="e">
            <v>#REF!</v>
          </cell>
          <cell r="F58" t="e">
            <v>#REF!</v>
          </cell>
          <cell r="G58" t="e">
            <v>#REF!</v>
          </cell>
          <cell r="H58" t="e">
            <v>#REF!</v>
          </cell>
          <cell r="K58" t="str">
            <v>Wfarm!L5</v>
          </cell>
        </row>
        <row r="59">
          <cell r="A59" t="str">
            <v xml:space="preserve"> Bldg. Repair &amp; Maint.</v>
          </cell>
          <cell r="D59">
            <v>0.02</v>
          </cell>
          <cell r="E59" t="e">
            <v>#REF!</v>
          </cell>
          <cell r="F59" t="e">
            <v>#REF!</v>
          </cell>
          <cell r="G59" t="e">
            <v>#REF!</v>
          </cell>
          <cell r="H59" t="e">
            <v>#REF!</v>
          </cell>
          <cell r="K59" t="str">
            <v>Wfarm!L6</v>
          </cell>
        </row>
        <row r="60">
          <cell r="A60" t="str">
            <v xml:space="preserve"> Rent and Labour</v>
          </cell>
          <cell r="D60">
            <v>0.02</v>
          </cell>
          <cell r="E60" t="e">
            <v>#REF!</v>
          </cell>
          <cell r="F60" t="e">
            <v>#REF!</v>
          </cell>
          <cell r="G60" t="e">
            <v>#REF!</v>
          </cell>
          <cell r="H60" t="e">
            <v>#REF!</v>
          </cell>
          <cell r="K60" t="str">
            <v>Wfarm!L7</v>
          </cell>
        </row>
        <row r="61">
          <cell r="A61" t="str">
            <v xml:space="preserve"> General Variable Costs</v>
          </cell>
          <cell r="D61">
            <v>0.01</v>
          </cell>
          <cell r="E61" t="e">
            <v>#REF!</v>
          </cell>
          <cell r="F61" t="e">
            <v>#REF!</v>
          </cell>
          <cell r="G61" t="e">
            <v>#REF!</v>
          </cell>
          <cell r="H61" t="e">
            <v>#REF!</v>
          </cell>
          <cell r="K61" t="str">
            <v>Wfarm!L8</v>
          </cell>
        </row>
        <row r="63">
          <cell r="A63" t="str">
            <v>Interest on</v>
          </cell>
          <cell r="D63" t="str">
            <v>(% Interest)</v>
          </cell>
        </row>
        <row r="64">
          <cell r="A64" t="str">
            <v xml:space="preserve">       Operating Capital</v>
          </cell>
          <cell r="D64">
            <v>8</v>
          </cell>
          <cell r="E64" t="e">
            <v>#REF!</v>
          </cell>
          <cell r="F64" t="e">
            <v>#REF!</v>
          </cell>
          <cell r="G64" t="e">
            <v>#REF!</v>
          </cell>
          <cell r="H64" t="e">
            <v>#REF!</v>
          </cell>
          <cell r="J64">
            <v>4000</v>
          </cell>
          <cell r="K64" t="str">
            <v>Wfarm!L9</v>
          </cell>
        </row>
        <row r="65">
          <cell r="A65" t="str">
            <v>Operating Capital Required</v>
          </cell>
          <cell r="D65">
            <v>50000</v>
          </cell>
          <cell r="F65" t="str">
            <v>-------</v>
          </cell>
          <cell r="G65" t="str">
            <v>-------</v>
          </cell>
          <cell r="H65" t="str">
            <v>-------</v>
          </cell>
        </row>
        <row r="66">
          <cell r="A66" t="str">
            <v>Total Variable Costs</v>
          </cell>
          <cell r="F66" t="e">
            <v>#REF!</v>
          </cell>
          <cell r="G66" t="e">
            <v>#REF!</v>
          </cell>
          <cell r="H66" t="e">
            <v>#REF!</v>
          </cell>
        </row>
        <row r="67">
          <cell r="F67" t="str">
            <v>-------</v>
          </cell>
          <cell r="G67" t="str">
            <v>-------</v>
          </cell>
          <cell r="H67" t="str">
            <v>-------</v>
          </cell>
        </row>
        <row r="70">
          <cell r="C70" t="str">
            <v xml:space="preserve">     Comparison  Enterprise</v>
          </cell>
        </row>
        <row r="71">
          <cell r="A71" t="str">
            <v>Fixed Costs:</v>
          </cell>
          <cell r="C71" t="str">
            <v xml:space="preserve">       $/Dozen: $ Allocated:</v>
          </cell>
          <cell r="F71" t="str">
            <v>$/Dozen:</v>
          </cell>
          <cell r="G71" t="str">
            <v>$/Cycle:</v>
          </cell>
          <cell r="H71" t="str">
            <v>$/Year:</v>
          </cell>
        </row>
        <row r="72">
          <cell r="A72" t="str">
            <v xml:space="preserve"> Depreciation</v>
          </cell>
          <cell r="D72">
            <v>3.1E-2</v>
          </cell>
          <cell r="E72" t="e">
            <v>#REF!</v>
          </cell>
          <cell r="F72" t="e">
            <v>#REF!</v>
          </cell>
          <cell r="G72" t="e">
            <v>#REF!</v>
          </cell>
          <cell r="H72" t="e">
            <v>#REF!</v>
          </cell>
          <cell r="K72" t="str">
            <v>Wfarm!K4</v>
          </cell>
        </row>
        <row r="73">
          <cell r="A73" t="str">
            <v xml:space="preserve"> Interest on Term Loans</v>
          </cell>
          <cell r="D73">
            <v>7.6999999999999999E-2</v>
          </cell>
          <cell r="E73" t="e">
            <v>#REF!</v>
          </cell>
          <cell r="F73" t="e">
            <v>#REF!</v>
          </cell>
          <cell r="G73" t="e">
            <v>#REF!</v>
          </cell>
          <cell r="H73" t="e">
            <v>#REF!</v>
          </cell>
          <cell r="K73" t="str">
            <v>Wfarm!K5</v>
          </cell>
        </row>
        <row r="74">
          <cell r="A74" t="str">
            <v xml:space="preserve"> Long-term Leases</v>
          </cell>
          <cell r="D74">
            <v>6.0000000000000001E-3</v>
          </cell>
          <cell r="E74" t="e">
            <v>#REF!</v>
          </cell>
          <cell r="F74" t="e">
            <v>#REF!</v>
          </cell>
          <cell r="G74" t="e">
            <v>#REF!</v>
          </cell>
          <cell r="H74" t="e">
            <v>#REF!</v>
          </cell>
          <cell r="K74" t="str">
            <v>Wfarm!K6</v>
          </cell>
        </row>
        <row r="75">
          <cell r="A75" t="str">
            <v xml:space="preserve"> General Fixed Costs</v>
          </cell>
          <cell r="D75">
            <v>6.0000000000000001E-3</v>
          </cell>
          <cell r="E75" t="e">
            <v>#REF!</v>
          </cell>
          <cell r="F75" t="e">
            <v>#REF!</v>
          </cell>
          <cell r="G75" t="e">
            <v>#REF!</v>
          </cell>
          <cell r="H75" t="e">
            <v>#REF!</v>
          </cell>
          <cell r="K75" t="str">
            <v>Wfarm!K7</v>
          </cell>
        </row>
        <row r="76">
          <cell r="F76" t="str">
            <v>-------</v>
          </cell>
          <cell r="G76" t="str">
            <v>-------</v>
          </cell>
          <cell r="H76" t="str">
            <v>-------</v>
          </cell>
        </row>
        <row r="77">
          <cell r="A77" t="str">
            <v>Total Fixed Costs</v>
          </cell>
          <cell r="F77" t="e">
            <v>#REF!</v>
          </cell>
          <cell r="G77" t="e">
            <v>#REF!</v>
          </cell>
          <cell r="H77" t="e">
            <v>#REF!</v>
          </cell>
        </row>
        <row r="80">
          <cell r="A80" t="str">
            <v>=</v>
          </cell>
          <cell r="B80" t="str">
            <v>=</v>
          </cell>
          <cell r="C80" t="str">
            <v>=</v>
          </cell>
          <cell r="D80" t="str">
            <v>=</v>
          </cell>
          <cell r="E80" t="str">
            <v>=</v>
          </cell>
          <cell r="F80" t="str">
            <v>=</v>
          </cell>
          <cell r="G80" t="str">
            <v>=</v>
          </cell>
          <cell r="H80" t="str">
            <v>=</v>
          </cell>
        </row>
        <row r="81">
          <cell r="F81" t="str">
            <v xml:space="preserve"> $/Dozen:</v>
          </cell>
          <cell r="G81" t="str">
            <v>$/Cycle:</v>
          </cell>
          <cell r="H81" t="str">
            <v>$/Year:</v>
          </cell>
        </row>
        <row r="82">
          <cell r="A82" t="str">
            <v>Total Expected Revenues</v>
          </cell>
          <cell r="F82">
            <v>1.2662500000000001</v>
          </cell>
          <cell r="G82">
            <v>449012.25</v>
          </cell>
          <cell r="H82">
            <v>449012.25</v>
          </cell>
        </row>
        <row r="83">
          <cell r="A83" t="str">
            <v xml:space="preserve">    less Feed &amp; Pullet Costs</v>
          </cell>
          <cell r="F83">
            <v>0.52028280879864641</v>
          </cell>
          <cell r="G83">
            <v>184492.28399999999</v>
          </cell>
          <cell r="H83">
            <v>184492.28399999999</v>
          </cell>
        </row>
        <row r="84">
          <cell r="A84" t="str">
            <v xml:space="preserve">    -----</v>
          </cell>
          <cell r="B84" t="str">
            <v>-</v>
          </cell>
          <cell r="F84" t="str">
            <v xml:space="preserve"> ------- </v>
          </cell>
          <cell r="G84" t="str">
            <v xml:space="preserve"> ------- </v>
          </cell>
          <cell r="H84" t="str">
            <v xml:space="preserve"> ------- </v>
          </cell>
        </row>
        <row r="85">
          <cell r="A85" t="str">
            <v xml:space="preserve"> NET of FEED &amp; PULLET COSTS</v>
          </cell>
          <cell r="F85">
            <v>0.74596719120135369</v>
          </cell>
          <cell r="G85">
            <v>264519.96600000001</v>
          </cell>
          <cell r="H85">
            <v>264519.96600000001</v>
          </cell>
        </row>
        <row r="86">
          <cell r="A86" t="str">
            <v xml:space="preserve">    less Remainder of Variable Costs</v>
          </cell>
          <cell r="F86" t="e">
            <v>#REF!</v>
          </cell>
          <cell r="G86" t="e">
            <v>#REF!</v>
          </cell>
          <cell r="H86" t="e">
            <v>#REF!</v>
          </cell>
        </row>
        <row r="87">
          <cell r="A87" t="str">
            <v xml:space="preserve">    -----</v>
          </cell>
          <cell r="B87" t="str">
            <v>-</v>
          </cell>
          <cell r="F87" t="str">
            <v xml:space="preserve"> ------- </v>
          </cell>
          <cell r="G87" t="str">
            <v xml:space="preserve"> ------- </v>
          </cell>
          <cell r="H87" t="str">
            <v xml:space="preserve"> ------- </v>
          </cell>
        </row>
        <row r="88">
          <cell r="A88" t="str">
            <v>Expected Operating Margin</v>
          </cell>
          <cell r="F88" t="e">
            <v>#REF!</v>
          </cell>
          <cell r="G88" t="e">
            <v>#REF!</v>
          </cell>
          <cell r="H88" t="e">
            <v>#REF!</v>
          </cell>
        </row>
        <row r="89">
          <cell r="A89" t="str">
            <v xml:space="preserve">    less Fixed Costs</v>
          </cell>
          <cell r="F89" t="e">
            <v>#REF!</v>
          </cell>
          <cell r="G89" t="e">
            <v>#REF!</v>
          </cell>
          <cell r="H89" t="e">
            <v>#REF!</v>
          </cell>
        </row>
        <row r="90">
          <cell r="A90" t="str">
            <v xml:space="preserve">    -----</v>
          </cell>
          <cell r="B90" t="str">
            <v>-</v>
          </cell>
          <cell r="F90" t="str">
            <v xml:space="preserve"> ------- </v>
          </cell>
          <cell r="G90" t="str">
            <v xml:space="preserve"> ------- </v>
          </cell>
          <cell r="H90" t="str">
            <v xml:space="preserve"> ------- </v>
          </cell>
        </row>
        <row r="91">
          <cell r="A91" t="str">
            <v>Expected Net Revenue</v>
          </cell>
          <cell r="F91" t="e">
            <v>#REF!</v>
          </cell>
          <cell r="G91" t="e">
            <v>#REF!</v>
          </cell>
          <cell r="H91" t="e">
            <v>#REF!</v>
          </cell>
        </row>
        <row r="92">
          <cell r="F92" t="str">
            <v xml:space="preserve"> =======</v>
          </cell>
          <cell r="G92" t="str">
            <v xml:space="preserve"> =======</v>
          </cell>
          <cell r="H92" t="str">
            <v xml:space="preserve"> =======</v>
          </cell>
        </row>
        <row r="93">
          <cell r="A93" t="str">
            <v>Expected break-even dollars per dozen</v>
          </cell>
        </row>
        <row r="94">
          <cell r="A94" t="str">
            <v>sold; needed to cover:</v>
          </cell>
          <cell r="F94" t="str">
            <v>Variable Costs</v>
          </cell>
          <cell r="H94" t="e">
            <v>#REF!</v>
          </cell>
        </row>
        <row r="95">
          <cell r="F95" t="str">
            <v>Fixed Costs</v>
          </cell>
          <cell r="H95" t="e">
            <v>#REF!</v>
          </cell>
        </row>
        <row r="96">
          <cell r="H96" t="str">
            <v>-</v>
          </cell>
        </row>
        <row r="97">
          <cell r="F97" t="str">
            <v>Total Costs</v>
          </cell>
          <cell r="H97" t="e">
            <v>#REF!</v>
          </cell>
        </row>
        <row r="99">
          <cell r="A99" t="str">
            <v>=</v>
          </cell>
          <cell r="B99" t="str">
            <v>=</v>
          </cell>
          <cell r="C99" t="str">
            <v>=</v>
          </cell>
          <cell r="D99" t="str">
            <v>=</v>
          </cell>
          <cell r="E99" t="str">
            <v>=</v>
          </cell>
          <cell r="F99" t="str">
            <v>=</v>
          </cell>
          <cell r="G99" t="str">
            <v>=</v>
          </cell>
          <cell r="H99" t="str">
            <v>=</v>
          </cell>
          <cell r="I99" t="str">
            <v>=</v>
          </cell>
        </row>
        <row r="102">
          <cell r="G102" t="str">
            <v>Var(Rev)</v>
          </cell>
          <cell r="H102">
            <v>660926972.25000048</v>
          </cell>
        </row>
        <row r="103">
          <cell r="A103" t="str">
            <v>Chance of at least breaking even       ==&gt;</v>
          </cell>
          <cell r="F103" t="e">
            <v>#REF!</v>
          </cell>
          <cell r="G103" t="str">
            <v>Var(SpHn)</v>
          </cell>
          <cell r="H103">
            <v>136437.89062500009</v>
          </cell>
        </row>
        <row r="104">
          <cell r="A104" t="str">
            <v>Chance of at least</v>
          </cell>
          <cell r="C104">
            <v>0</v>
          </cell>
          <cell r="D104" t="str">
            <v>$/year retn ==&gt;</v>
          </cell>
          <cell r="F104" t="e">
            <v>#REF!</v>
          </cell>
          <cell r="G104" t="str">
            <v>Var(PCst)</v>
          </cell>
          <cell r="H104">
            <v>14062500</v>
          </cell>
        </row>
        <row r="105">
          <cell r="A105" t="str">
            <v>Coefficient of variation               ==&gt;</v>
          </cell>
          <cell r="F105">
            <v>5.9227400369279933E-2</v>
          </cell>
          <cell r="G105" t="str">
            <v>Var(FCst)</v>
          </cell>
          <cell r="H105">
            <v>32096706.961974062</v>
          </cell>
        </row>
        <row r="106">
          <cell r="G106" t="str">
            <v>Var(NRv)</v>
          </cell>
          <cell r="H106">
            <v>707231703.7275995</v>
          </cell>
        </row>
        <row r="107">
          <cell r="B107" t="str">
            <v xml:space="preserve">          Returns</v>
          </cell>
          <cell r="E107" t="str">
            <v>Chance of at least</v>
          </cell>
          <cell r="G107" t="str">
            <v>SumStd</v>
          </cell>
          <cell r="H107">
            <v>26593.828301461213</v>
          </cell>
        </row>
        <row r="108">
          <cell r="B108" t="str">
            <v>$/dozen</v>
          </cell>
          <cell r="C108" t="str">
            <v>$/year</v>
          </cell>
          <cell r="D108" t="str">
            <v>$/cycle</v>
          </cell>
          <cell r="E108" t="str">
            <v xml:space="preserve">    this return  </v>
          </cell>
          <cell r="G108" t="str">
            <v>Stddoz</v>
          </cell>
          <cell r="H108">
            <v>7.4996695717600717E-2</v>
          </cell>
        </row>
        <row r="109">
          <cell r="G109" t="str">
            <v>CycleStd</v>
          </cell>
          <cell r="H109">
            <v>26593.828301461213</v>
          </cell>
        </row>
        <row r="110">
          <cell r="B110" t="e">
            <v>#REF!</v>
          </cell>
          <cell r="C110" t="e">
            <v>#REF!</v>
          </cell>
          <cell r="D110" t="e">
            <v>#REF!</v>
          </cell>
          <cell r="E110" t="str">
            <v xml:space="preserve">       17 %</v>
          </cell>
        </row>
        <row r="111">
          <cell r="B111" t="e">
            <v>#REF!</v>
          </cell>
          <cell r="C111" t="e">
            <v>#REF!</v>
          </cell>
          <cell r="D111" t="e">
            <v>#REF!</v>
          </cell>
          <cell r="E111" t="str">
            <v xml:space="preserve">       33 %</v>
          </cell>
        </row>
        <row r="112">
          <cell r="B112" t="e">
            <v>#REF!</v>
          </cell>
          <cell r="C112" t="e">
            <v>#REF!</v>
          </cell>
          <cell r="D112" t="e">
            <v>#REF!</v>
          </cell>
          <cell r="E112" t="str">
            <v xml:space="preserve">       50 %</v>
          </cell>
          <cell r="H112" t="str">
            <v xml:space="preserve"> +b.e.</v>
          </cell>
          <cell r="I112" t="str">
            <v xml:space="preserve"> +profit</v>
          </cell>
        </row>
        <row r="113">
          <cell r="B113" t="e">
            <v>#REF!</v>
          </cell>
          <cell r="C113" t="e">
            <v>#REF!</v>
          </cell>
          <cell r="D113" t="e">
            <v>#REF!</v>
          </cell>
          <cell r="E113" t="str">
            <v xml:space="preserve">       67 %</v>
          </cell>
          <cell r="G113" t="str">
            <v>z</v>
          </cell>
          <cell r="H113" t="e">
            <v>#REF!</v>
          </cell>
          <cell r="I113" t="e">
            <v>#REF!</v>
          </cell>
        </row>
        <row r="114">
          <cell r="B114" t="e">
            <v>#REF!</v>
          </cell>
          <cell r="C114" t="e">
            <v>#REF!</v>
          </cell>
          <cell r="D114" t="e">
            <v>#REF!</v>
          </cell>
          <cell r="E114" t="str">
            <v xml:space="preserve">       83 %</v>
          </cell>
          <cell r="G114" t="str">
            <v>v1</v>
          </cell>
          <cell r="H114" t="e">
            <v>#REF!</v>
          </cell>
          <cell r="I114" t="e">
            <v>#REF!</v>
          </cell>
        </row>
        <row r="115">
          <cell r="G115" t="str">
            <v>v2</v>
          </cell>
          <cell r="H115" t="e">
            <v>#REF!</v>
          </cell>
          <cell r="I115" t="e">
            <v>#REF!</v>
          </cell>
        </row>
        <row r="116">
          <cell r="D116" t="str">
            <v>- End of Budget -</v>
          </cell>
          <cell r="G116" t="str">
            <v>p(vx)</v>
          </cell>
          <cell r="H116" t="e">
            <v>#REF!</v>
          </cell>
          <cell r="I116" t="e">
            <v>#REF!</v>
          </cell>
        </row>
        <row r="117">
          <cell r="A117" t="str">
            <v>=</v>
          </cell>
          <cell r="B117" t="str">
            <v>=</v>
          </cell>
          <cell r="C117" t="str">
            <v>=</v>
          </cell>
          <cell r="D117" t="str">
            <v>=</v>
          </cell>
          <cell r="E117" t="str">
            <v>=</v>
          </cell>
          <cell r="F117" t="str">
            <v>=</v>
          </cell>
          <cell r="G117" t="str">
            <v>=</v>
          </cell>
          <cell r="H117" t="str">
            <v>=</v>
          </cell>
          <cell r="I117"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UR"/>
    </sheetNames>
    <sheetDataSet>
      <sheetData sheetId="0" refreshError="1">
        <row r="1">
          <cell r="A1" t="str">
            <v>Pastur 1</v>
          </cell>
          <cell r="C1" t="str">
            <v>PASTURE ENTERPRISE BUDGET</v>
          </cell>
          <cell r="G1" t="str">
            <v xml:space="preserve"> Revised: May '98</v>
          </cell>
        </row>
        <row r="2">
          <cell r="A2">
            <v>703</v>
          </cell>
          <cell r="F2" t="str">
            <v>Profit Per Acre</v>
          </cell>
          <cell r="H2" t="e">
            <v>#REF!</v>
          </cell>
        </row>
        <row r="3">
          <cell r="B3" t="str">
            <v>Number of Acres =</v>
          </cell>
          <cell r="D3">
            <v>1</v>
          </cell>
        </row>
        <row r="4">
          <cell r="A4" t="str">
            <v>=</v>
          </cell>
          <cell r="B4" t="str">
            <v>=</v>
          </cell>
          <cell r="C4" t="str">
            <v>=</v>
          </cell>
          <cell r="D4" t="str">
            <v>=</v>
          </cell>
          <cell r="E4" t="str">
            <v>=</v>
          </cell>
          <cell r="F4" t="str">
            <v>=</v>
          </cell>
          <cell r="G4" t="str">
            <v>=</v>
          </cell>
          <cell r="H4" t="str">
            <v>=</v>
          </cell>
        </row>
        <row r="5">
          <cell r="B5" t="str">
            <v xml:space="preserve">  Optimistic</v>
          </cell>
          <cell r="D5" t="str">
            <v xml:space="preserve">  Expected</v>
          </cell>
          <cell r="F5" t="str">
            <v xml:space="preserve"> Pessimistic</v>
          </cell>
        </row>
        <row r="6">
          <cell r="A6" t="str">
            <v>Tonne/ac</v>
          </cell>
          <cell r="B6">
            <v>4</v>
          </cell>
          <cell r="D6">
            <v>3</v>
          </cell>
          <cell r="F6">
            <v>1</v>
          </cell>
          <cell r="G6" t="str">
            <v xml:space="preserve">  Hay Equivalents</v>
          </cell>
        </row>
        <row r="7">
          <cell r="A7" t="str">
            <v>$/tonne</v>
          </cell>
          <cell r="B7">
            <v>75</v>
          </cell>
          <cell r="D7">
            <v>60</v>
          </cell>
          <cell r="F7">
            <v>50</v>
          </cell>
        </row>
        <row r="8">
          <cell r="A8" t="str">
            <v>Prod'n  t</v>
          </cell>
          <cell r="B8">
            <v>4</v>
          </cell>
          <cell r="D8">
            <v>3</v>
          </cell>
          <cell r="F8">
            <v>1</v>
          </cell>
        </row>
        <row r="9">
          <cell r="A9" t="str">
            <v>=</v>
          </cell>
          <cell r="B9" t="str">
            <v>=</v>
          </cell>
          <cell r="C9" t="str">
            <v>=</v>
          </cell>
          <cell r="D9" t="str">
            <v>=</v>
          </cell>
          <cell r="E9" t="str">
            <v>=</v>
          </cell>
          <cell r="F9" t="str">
            <v>=</v>
          </cell>
          <cell r="G9" t="str">
            <v>=</v>
          </cell>
          <cell r="H9" t="str">
            <v>=</v>
          </cell>
        </row>
        <row r="10">
          <cell r="A10" t="str">
            <v xml:space="preserve">  Crop Insurance</v>
          </cell>
        </row>
        <row r="11">
          <cell r="A11" t="str">
            <v xml:space="preserve">   C.I. Premium/ac:</v>
          </cell>
          <cell r="D11">
            <v>6</v>
          </cell>
        </row>
        <row r="12">
          <cell r="A12" t="str">
            <v xml:space="preserve">   Level of Coverage</v>
          </cell>
          <cell r="D12">
            <v>0.83</v>
          </cell>
        </row>
        <row r="13">
          <cell r="A13" t="str">
            <v xml:space="preserve">   Guaranteed Yield/ac.</v>
          </cell>
          <cell r="D13">
            <v>2.4899999999999998</v>
          </cell>
          <cell r="K13">
            <v>0</v>
          </cell>
        </row>
        <row r="14">
          <cell r="A14" t="str">
            <v xml:space="preserve">   Probability of a payout</v>
          </cell>
          <cell r="D14">
            <v>0.36692267653411381</v>
          </cell>
          <cell r="K14">
            <v>22.660510663048971</v>
          </cell>
        </row>
        <row r="15">
          <cell r="A15" t="str">
            <v xml:space="preserve">   Expected Payout/ac</v>
          </cell>
          <cell r="D15">
            <v>22.660510663048971</v>
          </cell>
          <cell r="K15" t="e">
            <v>#REF!</v>
          </cell>
        </row>
        <row r="16">
          <cell r="D16">
            <v>0.36692267653411381</v>
          </cell>
          <cell r="K16" t="e">
            <v>#REF!</v>
          </cell>
        </row>
        <row r="17">
          <cell r="A17" t="str">
            <v xml:space="preserve"> Participate in CI? (y/n)</v>
          </cell>
          <cell r="D17" t="str">
            <v>Yes</v>
          </cell>
          <cell r="K17">
            <v>180</v>
          </cell>
        </row>
        <row r="18">
          <cell r="A18" t="str">
            <v>=</v>
          </cell>
          <cell r="B18" t="str">
            <v>=</v>
          </cell>
          <cell r="C18" t="str">
            <v>=</v>
          </cell>
          <cell r="D18" t="str">
            <v>=</v>
          </cell>
          <cell r="E18" t="str">
            <v>=</v>
          </cell>
          <cell r="F18" t="str">
            <v>=</v>
          </cell>
          <cell r="G18" t="str">
            <v>=</v>
          </cell>
          <cell r="H18" t="str">
            <v>=</v>
          </cell>
          <cell r="K18">
            <v>94.606381678884418</v>
          </cell>
        </row>
        <row r="19">
          <cell r="D19" t="str">
            <v>Unit/Ac</v>
          </cell>
          <cell r="E19" t="str">
            <v>Number</v>
          </cell>
          <cell r="F19" t="str">
            <v>Cost/Unit</v>
          </cell>
          <cell r="G19" t="str">
            <v>$/Acre</v>
          </cell>
          <cell r="H19" t="str">
            <v>$/Year</v>
          </cell>
          <cell r="K19">
            <v>3</v>
          </cell>
        </row>
        <row r="20">
          <cell r="A20" t="str">
            <v>Expenses</v>
          </cell>
          <cell r="D20" t="str">
            <v>-------</v>
          </cell>
          <cell r="E20" t="str">
            <v xml:space="preserve">  ------</v>
          </cell>
          <cell r="F20" t="str">
            <v>-</v>
          </cell>
          <cell r="G20" t="str">
            <v xml:space="preserve">  ------</v>
          </cell>
          <cell r="H20" t="str">
            <v xml:space="preserve">  -------</v>
          </cell>
          <cell r="K20">
            <v>60</v>
          </cell>
        </row>
        <row r="21">
          <cell r="A21" t="str">
            <v>Variable Costs:</v>
          </cell>
          <cell r="K21" t="str">
            <v>Allo!C3..J14</v>
          </cell>
        </row>
        <row r="22">
          <cell r="A22" t="str">
            <v xml:space="preserve"> Seed (Establishment - 4yr)</v>
          </cell>
          <cell r="D22" t="str">
            <v>kg</v>
          </cell>
          <cell r="E22">
            <v>7.71</v>
          </cell>
          <cell r="F22">
            <v>7</v>
          </cell>
          <cell r="G22">
            <v>53.97</v>
          </cell>
          <cell r="H22">
            <v>13.4925</v>
          </cell>
          <cell r="K22">
            <v>1</v>
          </cell>
        </row>
        <row r="23">
          <cell r="A23" t="str">
            <v xml:space="preserve"> Seed Treatment</v>
          </cell>
          <cell r="D23" t="str">
            <v>$</v>
          </cell>
          <cell r="E23">
            <v>0</v>
          </cell>
          <cell r="F23">
            <v>0</v>
          </cell>
          <cell r="G23">
            <v>0</v>
          </cell>
          <cell r="H23">
            <v>0</v>
          </cell>
          <cell r="K23">
            <v>13.4925</v>
          </cell>
        </row>
        <row r="24">
          <cell r="K24">
            <v>49.917500000000004</v>
          </cell>
        </row>
        <row r="25">
          <cell r="A25" t="str">
            <v xml:space="preserve"> Fertilizer   #1</v>
          </cell>
          <cell r="C25" t="str">
            <v>45-0-0</v>
          </cell>
          <cell r="D25" t="str">
            <v>kg</v>
          </cell>
          <cell r="E25">
            <v>68</v>
          </cell>
          <cell r="F25">
            <v>0.36</v>
          </cell>
          <cell r="G25">
            <v>24.48</v>
          </cell>
          <cell r="H25">
            <v>24.48</v>
          </cell>
          <cell r="K25">
            <v>21.86</v>
          </cell>
        </row>
        <row r="26">
          <cell r="A26" t="str">
            <v>Establishment #2</v>
          </cell>
          <cell r="C26" t="str">
            <v>8-32-16</v>
          </cell>
          <cell r="D26" t="str">
            <v>kg</v>
          </cell>
          <cell r="E26">
            <v>175</v>
          </cell>
          <cell r="F26">
            <v>0.17</v>
          </cell>
          <cell r="G26">
            <v>29.750000000000004</v>
          </cell>
          <cell r="H26">
            <v>7.4375000000000009</v>
          </cell>
          <cell r="K26">
            <v>6</v>
          </cell>
        </row>
        <row r="27">
          <cell r="A27" t="str">
            <v xml:space="preserve">              #3</v>
          </cell>
          <cell r="C27" t="str">
            <v>0-0-62</v>
          </cell>
          <cell r="D27" t="str">
            <v>kg</v>
          </cell>
          <cell r="E27">
            <v>150</v>
          </cell>
          <cell r="F27">
            <v>0.12</v>
          </cell>
          <cell r="G27">
            <v>18</v>
          </cell>
          <cell r="H27">
            <v>18</v>
          </cell>
          <cell r="K27">
            <v>0</v>
          </cell>
        </row>
        <row r="28">
          <cell r="K28">
            <v>0</v>
          </cell>
        </row>
        <row r="29">
          <cell r="D29" t="str">
            <v>Unit/Ac</v>
          </cell>
          <cell r="E29" t="str">
            <v>Number</v>
          </cell>
          <cell r="F29" t="str">
            <v>Cost/Unit</v>
          </cell>
          <cell r="G29" t="str">
            <v>$/Acre</v>
          </cell>
          <cell r="H29" t="str">
            <v>$/Year</v>
          </cell>
        </row>
        <row r="30">
          <cell r="D30" t="str">
            <v>-------</v>
          </cell>
          <cell r="E30" t="str">
            <v xml:space="preserve">  ------</v>
          </cell>
          <cell r="F30" t="str">
            <v>-</v>
          </cell>
          <cell r="G30" t="str">
            <v xml:space="preserve">  ------</v>
          </cell>
          <cell r="H30" t="str">
            <v xml:space="preserve">  -------</v>
          </cell>
        </row>
        <row r="31">
          <cell r="A31" t="str">
            <v xml:space="preserve"> Herbicide </v>
          </cell>
          <cell r="J31" t="str">
            <v>Grip prob factor (component of grip)</v>
          </cell>
          <cell r="K31" t="str">
            <v xml:space="preserve">  N/A</v>
          </cell>
        </row>
        <row r="32">
          <cell r="A32" t="str">
            <v xml:space="preserve">   Broadleaf Herbicides</v>
          </cell>
          <cell r="D32" t="str">
            <v>kg or l</v>
          </cell>
          <cell r="E32">
            <v>1</v>
          </cell>
          <cell r="F32">
            <v>8.9</v>
          </cell>
          <cell r="G32">
            <v>8.9</v>
          </cell>
          <cell r="H32">
            <v>8.9</v>
          </cell>
          <cell r="J32" t="str">
            <v>C.I. prob factor (component of Crop Insurance)</v>
          </cell>
          <cell r="K32">
            <v>1.1131078000000001</v>
          </cell>
        </row>
        <row r="33">
          <cell r="A33" t="str">
            <v xml:space="preserve">   Other Herbicides</v>
          </cell>
          <cell r="D33" t="str">
            <v>kg or l</v>
          </cell>
          <cell r="E33">
            <v>0.8</v>
          </cell>
          <cell r="F33">
            <v>16.2</v>
          </cell>
          <cell r="G33">
            <v>12.96</v>
          </cell>
          <cell r="H33">
            <v>12.96</v>
          </cell>
          <cell r="K33">
            <v>6</v>
          </cell>
        </row>
        <row r="34">
          <cell r="A34" t="str">
            <v xml:space="preserve"> Crop Insurance</v>
          </cell>
          <cell r="D34" t="str">
            <v>Insurance</v>
          </cell>
          <cell r="E34">
            <v>1</v>
          </cell>
          <cell r="F34">
            <v>6</v>
          </cell>
          <cell r="G34">
            <v>6</v>
          </cell>
          <cell r="H34">
            <v>6</v>
          </cell>
          <cell r="K34">
            <v>6</v>
          </cell>
        </row>
        <row r="35">
          <cell r="A35" t="str">
            <v xml:space="preserve"> Custom Work   #1</v>
          </cell>
          <cell r="C35" t="str">
            <v xml:space="preserve"> </v>
          </cell>
          <cell r="D35" t="str">
            <v>$</v>
          </cell>
          <cell r="E35">
            <v>0</v>
          </cell>
          <cell r="F35">
            <v>0</v>
          </cell>
          <cell r="G35">
            <v>0</v>
          </cell>
          <cell r="H35">
            <v>0</v>
          </cell>
        </row>
        <row r="36">
          <cell r="A36" t="str">
            <v xml:space="preserve">               #2</v>
          </cell>
          <cell r="C36" t="str">
            <v xml:space="preserve"> </v>
          </cell>
          <cell r="D36" t="str">
            <v>$</v>
          </cell>
          <cell r="E36">
            <v>0</v>
          </cell>
          <cell r="F36">
            <v>0</v>
          </cell>
          <cell r="G36">
            <v>0</v>
          </cell>
          <cell r="H36">
            <v>0</v>
          </cell>
        </row>
        <row r="37">
          <cell r="A37" t="str">
            <v xml:space="preserve"> Marketing Fees</v>
          </cell>
          <cell r="D37" t="str">
            <v>$</v>
          </cell>
          <cell r="E37">
            <v>0</v>
          </cell>
          <cell r="F37">
            <v>0</v>
          </cell>
          <cell r="G37">
            <v>0</v>
          </cell>
          <cell r="H37">
            <v>0</v>
          </cell>
        </row>
        <row r="38">
          <cell r="A38" t="str">
            <v xml:space="preserve"> Other</v>
          </cell>
          <cell r="D38" t="str">
            <v>$</v>
          </cell>
          <cell r="E38">
            <v>0</v>
          </cell>
          <cell r="F38">
            <v>0</v>
          </cell>
          <cell r="G38">
            <v>0</v>
          </cell>
          <cell r="H38">
            <v>0</v>
          </cell>
        </row>
        <row r="39">
          <cell r="D39" t="str">
            <v>Typical</v>
          </cell>
          <cell r="E39" t="str">
            <v xml:space="preserve"> Enterprise</v>
          </cell>
        </row>
        <row r="40">
          <cell r="D40" t="str">
            <v xml:space="preserve"> $/Acre</v>
          </cell>
          <cell r="E40" t="str">
            <v xml:space="preserve"> $ Allocated</v>
          </cell>
          <cell r="G40" t="str">
            <v>$/Acre</v>
          </cell>
          <cell r="H40" t="str">
            <v>$/Year</v>
          </cell>
        </row>
        <row r="41">
          <cell r="A41" t="str">
            <v xml:space="preserve"> Fuel</v>
          </cell>
          <cell r="D41">
            <v>2</v>
          </cell>
          <cell r="E41" t="e">
            <v>#REF!</v>
          </cell>
          <cell r="G41" t="e">
            <v>#REF!</v>
          </cell>
          <cell r="H41" t="e">
            <v>#REF!</v>
          </cell>
        </row>
        <row r="42">
          <cell r="A42" t="str">
            <v xml:space="preserve"> Mach. Repair &amp; Maint.</v>
          </cell>
          <cell r="D42">
            <v>2</v>
          </cell>
          <cell r="E42" t="e">
            <v>#REF!</v>
          </cell>
          <cell r="G42" t="e">
            <v>#REF!</v>
          </cell>
          <cell r="H42" t="e">
            <v>#REF!</v>
          </cell>
        </row>
        <row r="43">
          <cell r="A43" t="str">
            <v xml:space="preserve"> Repair &amp; Maint.(Fencing)</v>
          </cell>
          <cell r="D43">
            <v>6</v>
          </cell>
          <cell r="E43" t="e">
            <v>#REF!</v>
          </cell>
          <cell r="G43" t="e">
            <v>#REF!</v>
          </cell>
          <cell r="H43" t="e">
            <v>#REF!</v>
          </cell>
          <cell r="K43" t="str">
            <v>Wfarm!L4</v>
          </cell>
        </row>
        <row r="44">
          <cell r="A44" t="str">
            <v xml:space="preserve"> Rent and Labour</v>
          </cell>
          <cell r="D44">
            <v>30</v>
          </cell>
          <cell r="E44" t="e">
            <v>#REF!</v>
          </cell>
          <cell r="G44" t="e">
            <v>#REF!</v>
          </cell>
          <cell r="H44" t="e">
            <v>#REF!</v>
          </cell>
          <cell r="K44" t="str">
            <v>Wfarm!L5</v>
          </cell>
        </row>
        <row r="45">
          <cell r="A45" t="str">
            <v xml:space="preserve"> General Variable Costs</v>
          </cell>
          <cell r="D45">
            <v>5</v>
          </cell>
          <cell r="E45" t="e">
            <v>#REF!</v>
          </cell>
          <cell r="G45" t="e">
            <v>#REF!</v>
          </cell>
          <cell r="H45" t="e">
            <v>#REF!</v>
          </cell>
          <cell r="K45" t="str">
            <v>Wfarm!L6</v>
          </cell>
        </row>
        <row r="46">
          <cell r="A46" t="str">
            <v>Interest on</v>
          </cell>
          <cell r="C46" t="str">
            <v>%int</v>
          </cell>
          <cell r="D46" t="str">
            <v>%year</v>
          </cell>
          <cell r="K46" t="str">
            <v>Wfarm!L7</v>
          </cell>
        </row>
        <row r="47">
          <cell r="A47" t="str">
            <v>Operating Capital</v>
          </cell>
          <cell r="C47">
            <v>7.75</v>
          </cell>
          <cell r="D47">
            <v>50</v>
          </cell>
          <cell r="E47" t="e">
            <v>#REF!</v>
          </cell>
          <cell r="G47" t="e">
            <v>#REF!</v>
          </cell>
          <cell r="H47" t="e">
            <v>#REF!</v>
          </cell>
          <cell r="K47" t="str">
            <v>Wfarm!L8</v>
          </cell>
        </row>
        <row r="48">
          <cell r="G48" t="str">
            <v xml:space="preserve">  ------</v>
          </cell>
          <cell r="H48" t="str">
            <v xml:space="preserve">  -------</v>
          </cell>
        </row>
        <row r="49">
          <cell r="A49" t="str">
            <v>Total Variable Costs</v>
          </cell>
          <cell r="G49" t="e">
            <v>#REF!</v>
          </cell>
          <cell r="H49" t="e">
            <v>#REF!</v>
          </cell>
        </row>
        <row r="50">
          <cell r="J50" t="e">
            <v>#REF!</v>
          </cell>
          <cell r="K50" t="str">
            <v>Wfarm!L9</v>
          </cell>
        </row>
        <row r="51">
          <cell r="D51" t="str">
            <v>Typical</v>
          </cell>
          <cell r="E51" t="str">
            <v xml:space="preserve"> Enterprise</v>
          </cell>
        </row>
        <row r="52">
          <cell r="A52" t="str">
            <v>Fixed Costs:</v>
          </cell>
          <cell r="D52" t="str">
            <v xml:space="preserve"> $/Acre</v>
          </cell>
          <cell r="E52" t="str">
            <v xml:space="preserve"> $ Allocated</v>
          </cell>
          <cell r="G52" t="str">
            <v>$/Acre</v>
          </cell>
          <cell r="H52" t="str">
            <v>$/Year</v>
          </cell>
        </row>
        <row r="53">
          <cell r="A53" t="str">
            <v xml:space="preserve"> Depreciation</v>
          </cell>
          <cell r="D53">
            <v>10</v>
          </cell>
          <cell r="E53" t="e">
            <v>#REF!</v>
          </cell>
          <cell r="G53" t="e">
            <v>#REF!</v>
          </cell>
          <cell r="H53" t="e">
            <v>#REF!</v>
          </cell>
        </row>
        <row r="54">
          <cell r="A54" t="str">
            <v xml:space="preserve"> Interest on Term Loans</v>
          </cell>
          <cell r="D54">
            <v>0</v>
          </cell>
          <cell r="E54" t="e">
            <v>#REF!</v>
          </cell>
          <cell r="G54" t="e">
            <v>#REF!</v>
          </cell>
          <cell r="H54" t="e">
            <v>#REF!</v>
          </cell>
        </row>
        <row r="55">
          <cell r="A55" t="str">
            <v xml:space="preserve"> Long-term Leases</v>
          </cell>
          <cell r="D55">
            <v>0</v>
          </cell>
          <cell r="E55" t="e">
            <v>#REF!</v>
          </cell>
          <cell r="G55" t="e">
            <v>#REF!</v>
          </cell>
          <cell r="H55" t="e">
            <v>#REF!</v>
          </cell>
        </row>
        <row r="56">
          <cell r="A56" t="str">
            <v xml:space="preserve"> General Fixed Costs</v>
          </cell>
          <cell r="D56">
            <v>10</v>
          </cell>
          <cell r="E56" t="e">
            <v>#REF!</v>
          </cell>
          <cell r="G56" t="e">
            <v>#REF!</v>
          </cell>
          <cell r="H56" t="e">
            <v>#REF!</v>
          </cell>
        </row>
        <row r="57">
          <cell r="G57" t="str">
            <v xml:space="preserve">  ------</v>
          </cell>
          <cell r="H57" t="str">
            <v xml:space="preserve">  -------</v>
          </cell>
        </row>
        <row r="58">
          <cell r="A58" t="str">
            <v>Total Fixed Costs</v>
          </cell>
          <cell r="G58" t="e">
            <v>#REF!</v>
          </cell>
          <cell r="H58" t="e">
            <v>#REF!</v>
          </cell>
        </row>
        <row r="59">
          <cell r="A59" t="str">
            <v>=</v>
          </cell>
          <cell r="B59" t="str">
            <v>=</v>
          </cell>
          <cell r="C59" t="str">
            <v>=</v>
          </cell>
          <cell r="D59" t="str">
            <v>=</v>
          </cell>
          <cell r="E59" t="str">
            <v>=</v>
          </cell>
          <cell r="F59" t="str">
            <v>=</v>
          </cell>
          <cell r="G59" t="str">
            <v>=</v>
          </cell>
          <cell r="H59" t="str">
            <v>=</v>
          </cell>
          <cell r="K59" t="str">
            <v>Wfarm!K4</v>
          </cell>
        </row>
        <row r="60">
          <cell r="A60" t="str">
            <v>Revenues:</v>
          </cell>
          <cell r="E60" t="str">
            <v>$/Acre</v>
          </cell>
          <cell r="F60" t="str">
            <v>$/Year</v>
          </cell>
          <cell r="K60" t="str">
            <v>Wfarm!K5</v>
          </cell>
        </row>
        <row r="61">
          <cell r="A61" t="str">
            <v>Total Expected Revenues</v>
          </cell>
          <cell r="E61">
            <v>180</v>
          </cell>
          <cell r="F61">
            <v>180</v>
          </cell>
          <cell r="K61" t="str">
            <v>Wfarm!K6</v>
          </cell>
        </row>
        <row r="62">
          <cell r="A62" t="str">
            <v xml:space="preserve">    add: Expected Insurance Revenues</v>
          </cell>
          <cell r="E62">
            <v>22.660510663048971</v>
          </cell>
          <cell r="F62">
            <v>22.660510663048971</v>
          </cell>
          <cell r="K62" t="str">
            <v>Wfarm!K7</v>
          </cell>
        </row>
        <row r="63">
          <cell r="A63" t="str">
            <v xml:space="preserve">    less: Variable Costs</v>
          </cell>
          <cell r="E63" t="e">
            <v>#REF!</v>
          </cell>
          <cell r="F63" t="e">
            <v>#REF!</v>
          </cell>
        </row>
        <row r="64">
          <cell r="E64" t="str">
            <v xml:space="preserve">  -------</v>
          </cell>
          <cell r="F64" t="str">
            <v xml:space="preserve">  -------</v>
          </cell>
        </row>
        <row r="65">
          <cell r="A65" t="str">
            <v>Expected Operating Margin</v>
          </cell>
          <cell r="E65" t="e">
            <v>#REF!</v>
          </cell>
          <cell r="F65" t="e">
            <v>#REF!</v>
          </cell>
        </row>
        <row r="66">
          <cell r="A66" t="str">
            <v xml:space="preserve">    less: Fixed Costs</v>
          </cell>
          <cell r="E66" t="e">
            <v>#REF!</v>
          </cell>
          <cell r="F66" t="e">
            <v>#REF!</v>
          </cell>
        </row>
        <row r="67">
          <cell r="E67" t="str">
            <v xml:space="preserve">  -------</v>
          </cell>
          <cell r="F67" t="str">
            <v xml:space="preserve">  -------</v>
          </cell>
        </row>
        <row r="68">
          <cell r="A68" t="str">
            <v>Expected Net Revenue</v>
          </cell>
          <cell r="E68" t="e">
            <v>#REF!</v>
          </cell>
          <cell r="F68" t="e">
            <v>#REF!</v>
          </cell>
        </row>
        <row r="70">
          <cell r="A70" t="str">
            <v xml:space="preserve">      Break-even $/tonne to cover:</v>
          </cell>
          <cell r="E70" t="str">
            <v>Variable Costs</v>
          </cell>
          <cell r="G70" t="e">
            <v>#REF!</v>
          </cell>
        </row>
        <row r="71">
          <cell r="E71" t="str">
            <v>Fixed Costs</v>
          </cell>
          <cell r="G71" t="e">
            <v>#REF!</v>
          </cell>
        </row>
        <row r="72">
          <cell r="G72" t="str">
            <v xml:space="preserve">  -------</v>
          </cell>
        </row>
        <row r="73">
          <cell r="E73" t="str">
            <v>Total Costs</v>
          </cell>
          <cell r="G73" t="e">
            <v>#REF!</v>
          </cell>
        </row>
        <row r="75">
          <cell r="A75" t="str">
            <v>=</v>
          </cell>
          <cell r="B75" t="str">
            <v>=</v>
          </cell>
          <cell r="C75" t="str">
            <v>=</v>
          </cell>
          <cell r="D75" t="str">
            <v>=</v>
          </cell>
          <cell r="E75" t="str">
            <v>=</v>
          </cell>
          <cell r="F75" t="str">
            <v>=</v>
          </cell>
          <cell r="G75" t="str">
            <v>=</v>
          </cell>
          <cell r="H75" t="str">
            <v>=</v>
          </cell>
        </row>
        <row r="76">
          <cell r="B76" t="str">
            <v>Chance of at least breaking even          ==&gt;</v>
          </cell>
          <cell r="G76" t="e">
            <v>#REF!</v>
          </cell>
        </row>
        <row r="77">
          <cell r="B77" t="str">
            <v>Chance of at least</v>
          </cell>
          <cell r="D77">
            <v>0</v>
          </cell>
          <cell r="E77" t="str">
            <v>$/acre return  ==&gt;</v>
          </cell>
          <cell r="G77" t="e">
            <v>#REF!</v>
          </cell>
        </row>
        <row r="78">
          <cell r="B78" t="str">
            <v>Coefficient of variation                  ==&gt;</v>
          </cell>
          <cell r="G78">
            <v>0.52559100932713565</v>
          </cell>
        </row>
        <row r="79">
          <cell r="H79" t="str">
            <v>mn</v>
          </cell>
        </row>
        <row r="80">
          <cell r="C80" t="str">
            <v>Returns $/acre</v>
          </cell>
          <cell r="E80" t="str">
            <v>Chances of at least</v>
          </cell>
          <cell r="H80" t="str">
            <v>ystd</v>
          </cell>
        </row>
        <row r="81">
          <cell r="E81" t="str">
            <v>this return per acre</v>
          </cell>
          <cell r="H81" t="str">
            <v>pstd</v>
          </cell>
        </row>
        <row r="82">
          <cell r="H82" t="str">
            <v>nrstd</v>
          </cell>
        </row>
        <row r="83">
          <cell r="C83" t="e">
            <v>#REF!</v>
          </cell>
          <cell r="E83" t="str">
            <v xml:space="preserve">       17 %</v>
          </cell>
        </row>
        <row r="84">
          <cell r="C84" t="e">
            <v>#REF!</v>
          </cell>
          <cell r="E84" t="str">
            <v xml:space="preserve">       33 %</v>
          </cell>
          <cell r="H84" t="str">
            <v>z</v>
          </cell>
        </row>
        <row r="85">
          <cell r="C85" t="e">
            <v>#REF!</v>
          </cell>
          <cell r="E85" t="str">
            <v xml:space="preserve">       50 %</v>
          </cell>
          <cell r="H85" t="str">
            <v>v1</v>
          </cell>
        </row>
        <row r="86">
          <cell r="C86" t="e">
            <v>#REF!</v>
          </cell>
          <cell r="E86" t="str">
            <v xml:space="preserve">       67 %</v>
          </cell>
          <cell r="H86" t="str">
            <v>v2</v>
          </cell>
          <cell r="I86" t="e">
            <v>#REF!</v>
          </cell>
        </row>
        <row r="87">
          <cell r="C87" t="e">
            <v>#REF!</v>
          </cell>
          <cell r="E87" t="str">
            <v xml:space="preserve">       83 %</v>
          </cell>
          <cell r="H87" t="str">
            <v>p(vx)</v>
          </cell>
          <cell r="I87">
            <v>1.4171864000000001</v>
          </cell>
        </row>
        <row r="88">
          <cell r="H88" t="str">
            <v/>
          </cell>
          <cell r="I88">
            <v>12.5</v>
          </cell>
        </row>
        <row r="89">
          <cell r="E89" t="str">
            <v>- End of Budget -</v>
          </cell>
          <cell r="I89">
            <v>94.606381678884418</v>
          </cell>
        </row>
        <row r="90">
          <cell r="A90" t="str">
            <v>=</v>
          </cell>
          <cell r="B90" t="str">
            <v>=</v>
          </cell>
          <cell r="C90" t="str">
            <v>=</v>
          </cell>
          <cell r="D90" t="str">
            <v>=</v>
          </cell>
          <cell r="E90" t="str">
            <v>=</v>
          </cell>
          <cell r="F90" t="str">
            <v>=</v>
          </cell>
          <cell r="G90" t="str">
            <v>=</v>
          </cell>
          <cell r="H90" t="str">
            <v>=</v>
          </cell>
        </row>
        <row r="91">
          <cell r="I91" t="e">
            <v>#REF!</v>
          </cell>
          <cell r="J91" t="e">
            <v>#REF!</v>
          </cell>
        </row>
        <row r="92">
          <cell r="I92" t="e">
            <v>#REF!</v>
          </cell>
          <cell r="J92" t="e">
            <v>#REF!</v>
          </cell>
        </row>
        <row r="93">
          <cell r="I93" t="e">
            <v>#REF!</v>
          </cell>
          <cell r="J93" t="e">
            <v>#REF!</v>
          </cell>
        </row>
        <row r="94">
          <cell r="I94" t="e">
            <v>#REF!</v>
          </cell>
          <cell r="J94" t="e">
            <v>#REF!</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ET"/>
      <sheetName val="TOBACCO"/>
    </sheetNames>
    <sheetDataSet>
      <sheetData sheetId="0" refreshError="1">
        <row r="1">
          <cell r="A1" t="str">
            <v>Pullet 1</v>
          </cell>
          <cell r="C1" t="str">
            <v>PULLET ENTERPRISE BUDGET</v>
          </cell>
          <cell r="G1" t="str">
            <v>Revised: May '98</v>
          </cell>
        </row>
        <row r="2">
          <cell r="A2">
            <v>353</v>
          </cell>
          <cell r="F2" t="str">
            <v>Profit / Pullet:</v>
          </cell>
          <cell r="H2" t="e">
            <v>#REF!</v>
          </cell>
        </row>
        <row r="4">
          <cell r="A4" t="str">
            <v>=</v>
          </cell>
          <cell r="B4" t="str">
            <v>=</v>
          </cell>
          <cell r="C4" t="str">
            <v>=</v>
          </cell>
          <cell r="D4" t="str">
            <v>=</v>
          </cell>
          <cell r="E4" t="str">
            <v>=</v>
          </cell>
          <cell r="F4" t="str">
            <v>=</v>
          </cell>
          <cell r="G4" t="str">
            <v>=</v>
          </cell>
          <cell r="H4" t="str">
            <v>=</v>
          </cell>
        </row>
        <row r="5">
          <cell r="A5" t="str">
            <v>Basic quota units per cycle</v>
          </cell>
          <cell r="E5">
            <v>15000</v>
          </cell>
          <cell r="F5" t="str">
            <v>Units</v>
          </cell>
        </row>
        <row r="6">
          <cell r="A6" t="str">
            <v>Additional quota units per cycle</v>
          </cell>
          <cell r="E6">
            <v>0</v>
          </cell>
          <cell r="F6" t="str">
            <v>Units</v>
          </cell>
        </row>
        <row r="7">
          <cell r="A7" t="str">
            <v>Number of quota cycles per year</v>
          </cell>
          <cell r="E7">
            <v>2</v>
          </cell>
          <cell r="F7" t="str">
            <v>cycles</v>
          </cell>
        </row>
        <row r="8">
          <cell r="A8" t="str">
            <v>Calculated total annual production:</v>
          </cell>
          <cell r="E8">
            <v>30000</v>
          </cell>
          <cell r="F8" t="str">
            <v>pul.(Allowed by Allocation)</v>
          </cell>
        </row>
        <row r="9">
          <cell r="A9" t="str">
            <v>Weeks per cycle (growing period)</v>
          </cell>
          <cell r="E9">
            <v>19</v>
          </cell>
          <cell r="F9" t="str">
            <v>weeks/cycle</v>
          </cell>
        </row>
        <row r="11">
          <cell r="E11" t="str">
            <v>Optimistic</v>
          </cell>
          <cell r="F11" t="str">
            <v xml:space="preserve"> Expected</v>
          </cell>
          <cell r="G11" t="str">
            <v xml:space="preserve">   Pessimistic</v>
          </cell>
        </row>
        <row r="12">
          <cell r="E12" t="str">
            <v>-</v>
          </cell>
          <cell r="F12" t="str">
            <v>-</v>
          </cell>
          <cell r="G12" t="str">
            <v>-</v>
          </cell>
          <cell r="H12" t="str">
            <v>-----</v>
          </cell>
        </row>
        <row r="13">
          <cell r="A13" t="str">
            <v>Placement chicks cost ($'s/chick)</v>
          </cell>
          <cell r="E13">
            <v>1.28</v>
          </cell>
          <cell r="F13">
            <v>1.3</v>
          </cell>
          <cell r="G13">
            <v>1.34</v>
          </cell>
        </row>
        <row r="14">
          <cell r="A14" t="str">
            <v>Pullet Price ($'s/Pullet)</v>
          </cell>
          <cell r="E14">
            <v>4.55</v>
          </cell>
          <cell r="F14">
            <v>4.5</v>
          </cell>
          <cell r="G14">
            <v>4.4000000000000004</v>
          </cell>
          <cell r="K14">
            <v>0</v>
          </cell>
        </row>
        <row r="15">
          <cell r="A15" t="str">
            <v>Death loss (%)</v>
          </cell>
          <cell r="E15">
            <v>1.8</v>
          </cell>
          <cell r="F15">
            <v>2</v>
          </cell>
          <cell r="G15">
            <v>2.5</v>
          </cell>
          <cell r="K15" t="e">
            <v>#REF!</v>
          </cell>
        </row>
        <row r="16">
          <cell r="A16" t="str">
            <v>Feed Consumption (total kg's consumed/feed stage/pullet)</v>
          </cell>
          <cell r="K16" t="e">
            <v>#REF!</v>
          </cell>
        </row>
        <row r="17">
          <cell r="B17" t="str">
            <v>Stage 1 (0-6wks)</v>
          </cell>
          <cell r="E17">
            <v>1</v>
          </cell>
          <cell r="F17">
            <v>1.05</v>
          </cell>
          <cell r="G17">
            <v>1.1200000000000001</v>
          </cell>
          <cell r="K17">
            <v>135000</v>
          </cell>
        </row>
        <row r="18">
          <cell r="B18" t="str">
            <v>Stage 2 (6-12wks)</v>
          </cell>
          <cell r="E18">
            <v>2.2799999999999998</v>
          </cell>
          <cell r="F18">
            <v>2.3199999999999998</v>
          </cell>
          <cell r="G18">
            <v>2.5</v>
          </cell>
          <cell r="K18">
            <v>0</v>
          </cell>
        </row>
        <row r="19">
          <cell r="B19" t="str">
            <v>Stage 3 (12-17wks)</v>
          </cell>
          <cell r="E19">
            <v>2</v>
          </cell>
          <cell r="F19">
            <v>2.1</v>
          </cell>
          <cell r="G19">
            <v>2.21</v>
          </cell>
        </row>
        <row r="20">
          <cell r="B20" t="str">
            <v>Stage 4 (17-19wks)</v>
          </cell>
          <cell r="E20">
            <v>0.98</v>
          </cell>
          <cell r="F20">
            <v>1</v>
          </cell>
          <cell r="G20">
            <v>1.1000000000000001</v>
          </cell>
          <cell r="K20" t="str">
            <v>Tran!D3..G14</v>
          </cell>
        </row>
        <row r="21">
          <cell r="A21" t="str">
            <v>Purchased feed price ($'s per tonne)</v>
          </cell>
          <cell r="K21" t="str">
            <v>Allo!C3..J14</v>
          </cell>
        </row>
        <row r="22">
          <cell r="B22" t="str">
            <v>Starter</v>
          </cell>
          <cell r="E22">
            <v>226</v>
          </cell>
          <cell r="F22">
            <v>236</v>
          </cell>
          <cell r="G22">
            <v>246</v>
          </cell>
          <cell r="K22">
            <v>30000</v>
          </cell>
        </row>
        <row r="23">
          <cell r="B23" t="str">
            <v>Grower 1</v>
          </cell>
          <cell r="E23">
            <v>213</v>
          </cell>
          <cell r="F23">
            <v>223</v>
          </cell>
          <cell r="G23">
            <v>233</v>
          </cell>
          <cell r="K23">
            <v>39795.918367346938</v>
          </cell>
        </row>
        <row r="24">
          <cell r="B24" t="str">
            <v>Grower 2</v>
          </cell>
          <cell r="E24">
            <v>197</v>
          </cell>
          <cell r="F24">
            <v>207</v>
          </cell>
          <cell r="G24">
            <v>217</v>
          </cell>
          <cell r="K24">
            <v>43648.775510204083</v>
          </cell>
        </row>
        <row r="25">
          <cell r="B25" t="str">
            <v>Pre-Layer</v>
          </cell>
          <cell r="E25">
            <v>216</v>
          </cell>
          <cell r="F25">
            <v>226</v>
          </cell>
          <cell r="G25">
            <v>236</v>
          </cell>
          <cell r="K25">
            <v>153.0612244897959</v>
          </cell>
        </row>
        <row r="26">
          <cell r="K26">
            <v>356.12244897959181</v>
          </cell>
        </row>
        <row r="27">
          <cell r="A27" t="str">
            <v>Expected yearly chick purchases</v>
          </cell>
          <cell r="F27">
            <v>30612.244897959183</v>
          </cell>
          <cell r="G27" t="str">
            <v>chicks</v>
          </cell>
          <cell r="K27">
            <v>1071.4285714285713</v>
          </cell>
        </row>
        <row r="28">
          <cell r="K28">
            <v>0</v>
          </cell>
        </row>
        <row r="29">
          <cell r="A29" t="str">
            <v>EXPENSES</v>
          </cell>
        </row>
        <row r="30">
          <cell r="A30" t="str">
            <v>-</v>
          </cell>
        </row>
        <row r="31">
          <cell r="A31" t="str">
            <v>Variable Costs:</v>
          </cell>
          <cell r="G31" t="str">
            <v xml:space="preserve"> $/Cycle:</v>
          </cell>
          <cell r="H31" t="str">
            <v xml:space="preserve"> $/Year:</v>
          </cell>
        </row>
        <row r="32">
          <cell r="A32" t="str">
            <v xml:space="preserve"> Feed costs:</v>
          </cell>
          <cell r="G32" t="str">
            <v>-</v>
          </cell>
          <cell r="H32" t="str">
            <v>-</v>
          </cell>
        </row>
        <row r="33">
          <cell r="A33" t="str">
            <v xml:space="preserve">  Purchased feed</v>
          </cell>
          <cell r="G33">
            <v>21824.387755102041</v>
          </cell>
          <cell r="H33">
            <v>43648.775510204083</v>
          </cell>
        </row>
        <row r="34">
          <cell r="A34" t="str">
            <v xml:space="preserve">   kilograms/bird</v>
          </cell>
          <cell r="C34">
            <v>6.4700000000000006</v>
          </cell>
          <cell r="D34" t="str">
            <v>(computed requirement)</v>
          </cell>
        </row>
        <row r="35">
          <cell r="A35" t="str">
            <v xml:space="preserve">   tonnes/cycle</v>
          </cell>
          <cell r="C35">
            <v>99.030612244897966</v>
          </cell>
          <cell r="D35" t="str">
            <v>(computed requirement)</v>
          </cell>
        </row>
        <row r="36">
          <cell r="A36" t="str">
            <v xml:space="preserve">   tonnes/year</v>
          </cell>
          <cell r="C36">
            <v>198.06122448979593</v>
          </cell>
          <cell r="D36" t="str">
            <v>(computed requirement)</v>
          </cell>
        </row>
        <row r="37">
          <cell r="A37" t="str">
            <v xml:space="preserve">   dollars/bird</v>
          </cell>
          <cell r="C37">
            <v>1.4258600000000001</v>
          </cell>
          <cell r="D37" t="str">
            <v>(calculated)</v>
          </cell>
        </row>
        <row r="38">
          <cell r="A38" t="str">
            <v xml:space="preserve">  Other#1</v>
          </cell>
          <cell r="C38">
            <v>0</v>
          </cell>
          <cell r="D38" t="str">
            <v>(cost per cycle)</v>
          </cell>
          <cell r="G38">
            <v>0</v>
          </cell>
          <cell r="H38">
            <v>0</v>
          </cell>
        </row>
        <row r="39">
          <cell r="A39" t="str">
            <v xml:space="preserve">  Other#2</v>
          </cell>
          <cell r="C39">
            <v>0</v>
          </cell>
          <cell r="D39" t="str">
            <v>(cost per cycle)</v>
          </cell>
          <cell r="G39">
            <v>0</v>
          </cell>
          <cell r="H39">
            <v>0</v>
          </cell>
        </row>
        <row r="41">
          <cell r="A41" t="str">
            <v xml:space="preserve">  Homegrown Feed *</v>
          </cell>
        </row>
        <row r="42">
          <cell r="A42" t="str">
            <v xml:space="preserve">    Crop Transfers    (from Transfer Table)</v>
          </cell>
          <cell r="G42" t="e">
            <v>#REF!</v>
          </cell>
          <cell r="H42" t="e">
            <v>#REF!</v>
          </cell>
        </row>
        <row r="43">
          <cell r="A43" t="str">
            <v xml:space="preserve"> Total Feed Costs</v>
          </cell>
          <cell r="G43" t="e">
            <v>#REF!</v>
          </cell>
          <cell r="H43" t="e">
            <v>#REF!</v>
          </cell>
        </row>
        <row r="45">
          <cell r="B45" t="str">
            <v xml:space="preserve">  * (be careful not to include crop costs which</v>
          </cell>
        </row>
        <row r="46">
          <cell r="B46" t="str">
            <v xml:space="preserve">     have already been entered in the transfer table.)</v>
          </cell>
        </row>
        <row r="48">
          <cell r="A48" t="str">
            <v xml:space="preserve"> Expected Yearly Chick Purchases (in dollars)</v>
          </cell>
          <cell r="G48">
            <v>19897.959183673469</v>
          </cell>
          <cell r="H48">
            <v>39795.918367346938</v>
          </cell>
        </row>
        <row r="49">
          <cell r="A49" t="str">
            <v>=</v>
          </cell>
          <cell r="B49" t="str">
            <v>=</v>
          </cell>
          <cell r="C49" t="str">
            <v>=</v>
          </cell>
          <cell r="D49" t="str">
            <v>=</v>
          </cell>
          <cell r="E49" t="str">
            <v>=</v>
          </cell>
          <cell r="F49" t="str">
            <v>=</v>
          </cell>
          <cell r="G49" t="str">
            <v>=</v>
          </cell>
          <cell r="H49" t="str">
            <v>=</v>
          </cell>
        </row>
        <row r="51">
          <cell r="D51" t="str">
            <v xml:space="preserve"> Unit</v>
          </cell>
          <cell r="E51" t="str">
            <v>Number</v>
          </cell>
          <cell r="F51" t="str">
            <v>$/Unit</v>
          </cell>
          <cell r="G51" t="str">
            <v xml:space="preserve">  $/Cycle:</v>
          </cell>
          <cell r="H51" t="str">
            <v xml:space="preserve">   $/Year</v>
          </cell>
        </row>
        <row r="52">
          <cell r="D52" t="str">
            <v>-</v>
          </cell>
          <cell r="E52" t="str">
            <v>-</v>
          </cell>
          <cell r="F52" t="str">
            <v>-</v>
          </cell>
          <cell r="G52" t="str">
            <v>-</v>
          </cell>
          <cell r="H52" t="str">
            <v>-</v>
          </cell>
        </row>
        <row r="53">
          <cell r="A53" t="str">
            <v xml:space="preserve"> Hired Labour</v>
          </cell>
          <cell r="D53" t="str">
            <v>hrs</v>
          </cell>
          <cell r="E53">
            <v>0</v>
          </cell>
          <cell r="F53">
            <v>7.75</v>
          </cell>
          <cell r="G53">
            <v>0</v>
          </cell>
          <cell r="H53">
            <v>0</v>
          </cell>
        </row>
        <row r="54">
          <cell r="A54" t="str">
            <v xml:space="preserve"> Veterinary &amp; Medicine</v>
          </cell>
          <cell r="D54" t="str">
            <v>1000 Chks</v>
          </cell>
          <cell r="E54">
            <v>30.612244897959183</v>
          </cell>
          <cell r="F54">
            <v>5</v>
          </cell>
          <cell r="G54">
            <v>76.530612244897952</v>
          </cell>
          <cell r="H54">
            <v>153.0612244897959</v>
          </cell>
        </row>
        <row r="55">
          <cell r="A55" t="str">
            <v xml:space="preserve"> Bedding</v>
          </cell>
          <cell r="D55" t="str">
            <v>1000 Chks</v>
          </cell>
          <cell r="E55">
            <v>30.612244897959183</v>
          </cell>
          <cell r="F55">
            <v>10</v>
          </cell>
          <cell r="G55">
            <v>153.0612244897959</v>
          </cell>
          <cell r="H55">
            <v>306.12244897959181</v>
          </cell>
        </row>
        <row r="56">
          <cell r="A56" t="str">
            <v xml:space="preserve"> Marketing Board Fees</v>
          </cell>
          <cell r="D56" t="str">
            <v>1000 Chks</v>
          </cell>
          <cell r="E56">
            <v>30.612244897959183</v>
          </cell>
          <cell r="F56">
            <v>20</v>
          </cell>
          <cell r="G56">
            <v>306.12244897959181</v>
          </cell>
          <cell r="H56">
            <v>612.24489795918362</v>
          </cell>
        </row>
        <row r="57">
          <cell r="A57" t="str">
            <v xml:space="preserve"> Transportation</v>
          </cell>
          <cell r="D57" t="str">
            <v>1000 Chks</v>
          </cell>
          <cell r="E57">
            <v>30.612244897959183</v>
          </cell>
          <cell r="F57">
            <v>15</v>
          </cell>
          <cell r="G57">
            <v>229.59183673469389</v>
          </cell>
          <cell r="H57">
            <v>459.18367346938777</v>
          </cell>
        </row>
        <row r="58">
          <cell r="A58" t="str">
            <v xml:space="preserve"> Heat</v>
          </cell>
          <cell r="D58" t="str">
            <v>1000 Chks</v>
          </cell>
          <cell r="E58">
            <v>30.612244897959183</v>
          </cell>
          <cell r="F58">
            <v>0</v>
          </cell>
          <cell r="G58">
            <v>0</v>
          </cell>
          <cell r="H58">
            <v>0</v>
          </cell>
        </row>
        <row r="59">
          <cell r="A59" t="str">
            <v xml:space="preserve"> Custom Work</v>
          </cell>
          <cell r="D59" t="str">
            <v>$</v>
          </cell>
          <cell r="E59">
            <v>0</v>
          </cell>
          <cell r="F59">
            <v>0</v>
          </cell>
          <cell r="G59">
            <v>0</v>
          </cell>
          <cell r="H59">
            <v>0</v>
          </cell>
        </row>
        <row r="60">
          <cell r="A60" t="str">
            <v xml:space="preserve"> Equipment Rental</v>
          </cell>
          <cell r="D60" t="str">
            <v>$</v>
          </cell>
          <cell r="E60">
            <v>0</v>
          </cell>
          <cell r="F60">
            <v>0</v>
          </cell>
          <cell r="G60">
            <v>0</v>
          </cell>
          <cell r="H60">
            <v>0</v>
          </cell>
        </row>
        <row r="61">
          <cell r="A61" t="str">
            <v xml:space="preserve"> Miscellaneous </v>
          </cell>
          <cell r="D61" t="str">
            <v>$</v>
          </cell>
          <cell r="E61">
            <v>1</v>
          </cell>
          <cell r="F61">
            <v>50</v>
          </cell>
          <cell r="G61">
            <v>25</v>
          </cell>
          <cell r="H61">
            <v>50</v>
          </cell>
        </row>
        <row r="63">
          <cell r="D63" t="str">
            <v>Typical</v>
          </cell>
          <cell r="E63" t="str">
            <v xml:space="preserve"> Enterprise</v>
          </cell>
          <cell r="K63" t="str">
            <v>Wfarm!L4</v>
          </cell>
        </row>
        <row r="64">
          <cell r="C64" t="str">
            <v xml:space="preserve">         $/Chick: $ Allocated: $/Chick: $/Cycle: $/Year:</v>
          </cell>
          <cell r="D64" t="str">
            <v>$/1000 Chks</v>
          </cell>
          <cell r="E64" t="str">
            <v xml:space="preserve"> $ Allocated:</v>
          </cell>
          <cell r="G64" t="str">
            <v xml:space="preserve">  $/Cycle:</v>
          </cell>
          <cell r="H64" t="str">
            <v xml:space="preserve">   $/Year</v>
          </cell>
          <cell r="K64" t="str">
            <v>Wfarm!L5</v>
          </cell>
        </row>
        <row r="65">
          <cell r="D65" t="str">
            <v>-</v>
          </cell>
          <cell r="E65" t="str">
            <v>-</v>
          </cell>
          <cell r="F65" t="str">
            <v>---</v>
          </cell>
          <cell r="G65" t="str">
            <v>-</v>
          </cell>
          <cell r="H65" t="str">
            <v>-</v>
          </cell>
          <cell r="K65" t="str">
            <v>Wfarm!L6</v>
          </cell>
        </row>
        <row r="66">
          <cell r="A66" t="str">
            <v xml:space="preserve"> Fuel</v>
          </cell>
          <cell r="D66">
            <v>10</v>
          </cell>
          <cell r="E66" t="e">
            <v>#REF!</v>
          </cell>
          <cell r="G66" t="e">
            <v>#REF!</v>
          </cell>
          <cell r="H66" t="e">
            <v>#REF!</v>
          </cell>
          <cell r="K66" t="str">
            <v>Wfarm!L7</v>
          </cell>
        </row>
        <row r="67">
          <cell r="A67" t="str">
            <v xml:space="preserve"> Mach. Repair &amp; Maint.</v>
          </cell>
          <cell r="D67">
            <v>10</v>
          </cell>
          <cell r="E67" t="e">
            <v>#REF!</v>
          </cell>
          <cell r="G67" t="e">
            <v>#REF!</v>
          </cell>
          <cell r="H67" t="e">
            <v>#REF!</v>
          </cell>
          <cell r="K67" t="str">
            <v>Wfarm!L8</v>
          </cell>
        </row>
        <row r="68">
          <cell r="A68" t="str">
            <v xml:space="preserve"> Bldg. Repair &amp; Maint.</v>
          </cell>
          <cell r="D68">
            <v>10</v>
          </cell>
          <cell r="E68" t="e">
            <v>#REF!</v>
          </cell>
          <cell r="G68" t="e">
            <v>#REF!</v>
          </cell>
          <cell r="H68" t="e">
            <v>#REF!</v>
          </cell>
        </row>
        <row r="69">
          <cell r="A69" t="str">
            <v xml:space="preserve"> Rent and Labour</v>
          </cell>
          <cell r="D69">
            <v>10</v>
          </cell>
          <cell r="E69" t="e">
            <v>#REF!</v>
          </cell>
          <cell r="G69" t="e">
            <v>#REF!</v>
          </cell>
          <cell r="H69" t="e">
            <v>#REF!</v>
          </cell>
        </row>
        <row r="70">
          <cell r="A70" t="str">
            <v xml:space="preserve"> General Variable Costs</v>
          </cell>
          <cell r="D70">
            <v>10</v>
          </cell>
          <cell r="E70" t="e">
            <v>#REF!</v>
          </cell>
          <cell r="G70" t="e">
            <v>#REF!</v>
          </cell>
          <cell r="H70" t="e">
            <v>#REF!</v>
          </cell>
          <cell r="J70" t="e">
            <v>#REF!</v>
          </cell>
          <cell r="K70" t="str">
            <v>Wfarm!L9</v>
          </cell>
        </row>
        <row r="72">
          <cell r="A72" t="str">
            <v>Interest on</v>
          </cell>
          <cell r="C72" t="str">
            <v>% Int.</v>
          </cell>
          <cell r="D72" t="str">
            <v>% Year</v>
          </cell>
        </row>
        <row r="73">
          <cell r="A73" t="str">
            <v>Operating Capital</v>
          </cell>
          <cell r="C73">
            <v>6</v>
          </cell>
          <cell r="D73">
            <v>50</v>
          </cell>
          <cell r="E73" t="e">
            <v>#REF!</v>
          </cell>
          <cell r="G73" t="e">
            <v>#REF!</v>
          </cell>
          <cell r="H73" t="e">
            <v>#REF!</v>
          </cell>
        </row>
        <row r="74">
          <cell r="A74" t="str">
            <v>Total Variable Costs</v>
          </cell>
          <cell r="G74" t="e">
            <v>#REF!</v>
          </cell>
          <cell r="H74" t="e">
            <v>#REF!</v>
          </cell>
        </row>
        <row r="76">
          <cell r="K76" t="str">
            <v>Wfarm!K4</v>
          </cell>
        </row>
        <row r="77">
          <cell r="D77" t="str">
            <v>Typical</v>
          </cell>
          <cell r="E77" t="str">
            <v xml:space="preserve"> Enterprise</v>
          </cell>
          <cell r="K77" t="str">
            <v>Wfarm!K5</v>
          </cell>
        </row>
        <row r="78">
          <cell r="A78" t="str">
            <v>Fixed Costs:</v>
          </cell>
          <cell r="C78" t="str">
            <v xml:space="preserve">         $/Chick: $ Allocated: $/Chick: $/Cycle: $/Year:</v>
          </cell>
          <cell r="D78" t="str">
            <v>$/1000 Chks</v>
          </cell>
          <cell r="E78" t="str">
            <v xml:space="preserve"> $ Allocated:</v>
          </cell>
          <cell r="G78" t="str">
            <v xml:space="preserve">  $/Cycle:</v>
          </cell>
          <cell r="H78" t="str">
            <v xml:space="preserve">   $/Year</v>
          </cell>
          <cell r="K78" t="str">
            <v>Wfarm!K6</v>
          </cell>
        </row>
        <row r="79">
          <cell r="D79" t="str">
            <v>-</v>
          </cell>
          <cell r="E79" t="str">
            <v>-</v>
          </cell>
          <cell r="F79" t="str">
            <v>---</v>
          </cell>
          <cell r="G79" t="str">
            <v>-</v>
          </cell>
          <cell r="H79" t="str">
            <v>-</v>
          </cell>
          <cell r="K79" t="str">
            <v>Wfarm!K7</v>
          </cell>
        </row>
        <row r="80">
          <cell r="A80" t="str">
            <v xml:space="preserve"> Depreciation</v>
          </cell>
          <cell r="D80">
            <v>10</v>
          </cell>
          <cell r="E80" t="e">
            <v>#REF!</v>
          </cell>
          <cell r="G80" t="e">
            <v>#REF!</v>
          </cell>
          <cell r="H80" t="e">
            <v>#REF!</v>
          </cell>
        </row>
        <row r="81">
          <cell r="A81" t="str">
            <v xml:space="preserve"> Interest on Term Loans</v>
          </cell>
          <cell r="D81">
            <v>10</v>
          </cell>
          <cell r="E81" t="e">
            <v>#REF!</v>
          </cell>
          <cell r="G81" t="e">
            <v>#REF!</v>
          </cell>
          <cell r="H81" t="e">
            <v>#REF!</v>
          </cell>
        </row>
        <row r="82">
          <cell r="A82" t="str">
            <v xml:space="preserve"> Long-term Leases</v>
          </cell>
          <cell r="D82">
            <v>10</v>
          </cell>
          <cell r="E82" t="e">
            <v>#REF!</v>
          </cell>
          <cell r="G82" t="e">
            <v>#REF!</v>
          </cell>
          <cell r="H82" t="e">
            <v>#REF!</v>
          </cell>
        </row>
        <row r="83">
          <cell r="A83" t="str">
            <v xml:space="preserve"> General Fixed Costs</v>
          </cell>
          <cell r="D83">
            <v>10</v>
          </cell>
          <cell r="E83" t="e">
            <v>#REF!</v>
          </cell>
          <cell r="G83" t="e">
            <v>#REF!</v>
          </cell>
          <cell r="H83" t="e">
            <v>#REF!</v>
          </cell>
        </row>
        <row r="84">
          <cell r="A84" t="str">
            <v>Total Fixed Costs</v>
          </cell>
          <cell r="G84" t="e">
            <v>#REF!</v>
          </cell>
          <cell r="H84" t="e">
            <v>#REF!</v>
          </cell>
        </row>
        <row r="85">
          <cell r="A85" t="str">
            <v>=</v>
          </cell>
          <cell r="B85" t="str">
            <v>=</v>
          </cell>
          <cell r="C85" t="str">
            <v>=</v>
          </cell>
          <cell r="D85" t="str">
            <v>=</v>
          </cell>
          <cell r="E85" t="str">
            <v>=</v>
          </cell>
          <cell r="F85" t="str">
            <v>=</v>
          </cell>
          <cell r="G85" t="str">
            <v>=</v>
          </cell>
          <cell r="H85" t="str">
            <v>=</v>
          </cell>
        </row>
        <row r="87">
          <cell r="A87" t="str">
            <v>Revenues:</v>
          </cell>
          <cell r="E87" t="str">
            <v>$/bird</v>
          </cell>
          <cell r="F87" t="str">
            <v>$/Cycle</v>
          </cell>
          <cell r="G87" t="str">
            <v>$/Year</v>
          </cell>
        </row>
        <row r="88">
          <cell r="E88" t="str">
            <v>-</v>
          </cell>
          <cell r="F88" t="str">
            <v>-</v>
          </cell>
          <cell r="G88" t="str">
            <v>-</v>
          </cell>
        </row>
        <row r="89">
          <cell r="A89" t="str">
            <v>Total Expected Revenues</v>
          </cell>
          <cell r="E89">
            <v>4.5</v>
          </cell>
          <cell r="F89">
            <v>67500</v>
          </cell>
          <cell r="G89">
            <v>135000</v>
          </cell>
        </row>
        <row r="90">
          <cell r="A90" t="str">
            <v xml:space="preserve">    less: Variable Costs</v>
          </cell>
          <cell r="E90" t="e">
            <v>#REF!</v>
          </cell>
          <cell r="F90" t="e">
            <v>#REF!</v>
          </cell>
          <cell r="G90" t="e">
            <v>#REF!</v>
          </cell>
        </row>
        <row r="91">
          <cell r="A91" t="str">
            <v>Expected Operating Margin</v>
          </cell>
          <cell r="E91" t="e">
            <v>#REF!</v>
          </cell>
          <cell r="F91" t="e">
            <v>#REF!</v>
          </cell>
          <cell r="G91" t="e">
            <v>#REF!</v>
          </cell>
        </row>
        <row r="92">
          <cell r="A92" t="str">
            <v xml:space="preserve">    less: Fixed Costs</v>
          </cell>
          <cell r="E92" t="e">
            <v>#REF!</v>
          </cell>
          <cell r="F92" t="e">
            <v>#REF!</v>
          </cell>
          <cell r="G92" t="e">
            <v>#REF!</v>
          </cell>
        </row>
        <row r="93">
          <cell r="A93" t="str">
            <v>Expected Net Revenue</v>
          </cell>
          <cell r="E93" t="e">
            <v>#REF!</v>
          </cell>
          <cell r="F93" t="e">
            <v>#REF!</v>
          </cell>
          <cell r="G93" t="e">
            <v>#REF!</v>
          </cell>
        </row>
        <row r="95">
          <cell r="A95" t="str">
            <v>Expected break-even dollars per pullet</v>
          </cell>
        </row>
        <row r="96">
          <cell r="A96" t="str">
            <v>for birds sold; needed to cover:</v>
          </cell>
          <cell r="E96" t="str">
            <v>Variable Costs</v>
          </cell>
          <cell r="G96" t="e">
            <v>#REF!</v>
          </cell>
        </row>
        <row r="97">
          <cell r="E97" t="str">
            <v>Fixed Costs</v>
          </cell>
          <cell r="G97" t="e">
            <v>#REF!</v>
          </cell>
        </row>
        <row r="98">
          <cell r="E98" t="str">
            <v>Total Costs</v>
          </cell>
          <cell r="G98" t="e">
            <v>#REF!</v>
          </cell>
          <cell r="I98">
            <v>2.5031249999999998</v>
          </cell>
        </row>
        <row r="99">
          <cell r="A99" t="str">
            <v>=</v>
          </cell>
          <cell r="B99" t="str">
            <v>=</v>
          </cell>
          <cell r="C99" t="str">
            <v>=</v>
          </cell>
          <cell r="D99" t="str">
            <v>=</v>
          </cell>
          <cell r="E99" t="str">
            <v>=</v>
          </cell>
          <cell r="F99" t="str">
            <v>=</v>
          </cell>
          <cell r="G99" t="str">
            <v>=</v>
          </cell>
          <cell r="H99" t="str">
            <v>=</v>
          </cell>
          <cell r="I99">
            <v>9.000000000000016E-4</v>
          </cell>
        </row>
        <row r="100">
          <cell r="I100">
            <v>3.1075560000000038E-4</v>
          </cell>
        </row>
        <row r="101">
          <cell r="I101">
            <v>1.1399609000000011E-3</v>
          </cell>
        </row>
        <row r="102">
          <cell r="B102" t="str">
            <v>Chance of at least breaking even       ==&gt;</v>
          </cell>
          <cell r="G102" t="e">
            <v>#REF!</v>
          </cell>
          <cell r="I102">
            <v>9.1341022499999988E-4</v>
          </cell>
        </row>
        <row r="103">
          <cell r="B103" t="str">
            <v>Chance of at least</v>
          </cell>
          <cell r="D103">
            <v>0</v>
          </cell>
          <cell r="E103" t="str">
            <v>$/cycle retn==&gt;</v>
          </cell>
          <cell r="G103" t="e">
            <v>#REF!</v>
          </cell>
          <cell r="I103">
            <v>2.8387360000000034E-4</v>
          </cell>
        </row>
        <row r="104">
          <cell r="B104" t="str">
            <v>Coefficient of variation               ==&gt;</v>
          </cell>
          <cell r="G104">
            <v>0</v>
          </cell>
          <cell r="I104">
            <v>2349027176.4811535</v>
          </cell>
        </row>
        <row r="105">
          <cell r="I105">
            <v>48466.763627058426</v>
          </cell>
        </row>
        <row r="106">
          <cell r="C106" t="str">
            <v xml:space="preserve">      Returns</v>
          </cell>
          <cell r="F106" t="str">
            <v>Chances of at least</v>
          </cell>
          <cell r="I106">
            <v>1.6155587875686142</v>
          </cell>
        </row>
        <row r="107">
          <cell r="C107" t="str">
            <v>$/pullet</v>
          </cell>
          <cell r="D107" t="str">
            <v>$/cycle</v>
          </cell>
          <cell r="F107" t="str">
            <v>this return per pulletkg</v>
          </cell>
          <cell r="I107">
            <v>24233.381813529213</v>
          </cell>
        </row>
        <row r="108">
          <cell r="I108" t="str">
            <v xml:space="preserve"> +b.e.</v>
          </cell>
          <cell r="J108" t="str">
            <v xml:space="preserve"> +profit</v>
          </cell>
        </row>
        <row r="109">
          <cell r="C109" t="e">
            <v>#REF!</v>
          </cell>
          <cell r="D109" t="e">
            <v>#REF!</v>
          </cell>
          <cell r="F109" t="str">
            <v xml:space="preserve">       17 %</v>
          </cell>
          <cell r="I109" t="e">
            <v>#REF!</v>
          </cell>
          <cell r="J109" t="e">
            <v>#REF!</v>
          </cell>
        </row>
        <row r="110">
          <cell r="C110" t="e">
            <v>#REF!</v>
          </cell>
          <cell r="D110" t="e">
            <v>#REF!</v>
          </cell>
          <cell r="F110" t="str">
            <v xml:space="preserve">       33 %</v>
          </cell>
          <cell r="I110" t="e">
            <v>#REF!</v>
          </cell>
          <cell r="J110" t="e">
            <v>#REF!</v>
          </cell>
        </row>
        <row r="111">
          <cell r="C111" t="e">
            <v>#REF!</v>
          </cell>
          <cell r="D111" t="e">
            <v>#REF!</v>
          </cell>
          <cell r="F111" t="str">
            <v xml:space="preserve">       50 %</v>
          </cell>
          <cell r="I111" t="e">
            <v>#REF!</v>
          </cell>
          <cell r="J111" t="e">
            <v>#REF!</v>
          </cell>
        </row>
        <row r="112">
          <cell r="C112" t="e">
            <v>#REF!</v>
          </cell>
          <cell r="D112" t="e">
            <v>#REF!</v>
          </cell>
          <cell r="F112" t="str">
            <v xml:space="preserve">       67 %</v>
          </cell>
          <cell r="I112" t="e">
            <v>#REF!</v>
          </cell>
          <cell r="J112" t="e">
            <v>#REF!</v>
          </cell>
        </row>
        <row r="113">
          <cell r="C113" t="e">
            <v>#REF!</v>
          </cell>
          <cell r="D113" t="e">
            <v>#REF!</v>
          </cell>
          <cell r="F113" t="str">
            <v xml:space="preserve">       83 %</v>
          </cell>
        </row>
        <row r="115">
          <cell r="D115" t="str">
            <v xml:space="preserve"> - End of Budget -</v>
          </cell>
        </row>
        <row r="116">
          <cell r="A116" t="str">
            <v>=</v>
          </cell>
          <cell r="B116" t="str">
            <v>=</v>
          </cell>
          <cell r="C116" t="str">
            <v>=</v>
          </cell>
          <cell r="D116" t="str">
            <v>=</v>
          </cell>
          <cell r="E116" t="str">
            <v>=</v>
          </cell>
          <cell r="F116" t="str">
            <v>=</v>
          </cell>
          <cell r="G116" t="str">
            <v>=</v>
          </cell>
          <cell r="H116" t="str">
            <v>=</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AGE"/>
    </sheetNames>
    <sheetDataSet>
      <sheetData sheetId="0" refreshError="1">
        <row r="1">
          <cell r="A1" t="str">
            <v>Silage 1</v>
          </cell>
          <cell r="C1" t="str">
            <v>CORN SILAGE ENTERPRISE BUDGET</v>
          </cell>
          <cell r="G1" t="str">
            <v>Revised: May '98</v>
          </cell>
        </row>
        <row r="2">
          <cell r="A2">
            <v>701</v>
          </cell>
          <cell r="F2" t="str">
            <v>Profit Per Acre</v>
          </cell>
          <cell r="H2" t="e">
            <v>#REF!</v>
          </cell>
        </row>
        <row r="3">
          <cell r="B3" t="str">
            <v>Number of Acres =</v>
          </cell>
          <cell r="D3">
            <v>1</v>
          </cell>
          <cell r="F3" t="str">
            <v>1 tonne =</v>
          </cell>
          <cell r="G3">
            <v>1.1023000000000001</v>
          </cell>
          <cell r="H3" t="str">
            <v>ton</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tonne/acre</v>
          </cell>
          <cell r="C7">
            <v>16</v>
          </cell>
          <cell r="E7">
            <v>12.5</v>
          </cell>
          <cell r="G7">
            <v>11.4</v>
          </cell>
        </row>
        <row r="8">
          <cell r="A8" t="str">
            <v>Price - $/tonne</v>
          </cell>
          <cell r="C8">
            <v>27.83</v>
          </cell>
          <cell r="E8">
            <v>26.25</v>
          </cell>
          <cell r="G8">
            <v>25.3</v>
          </cell>
        </row>
        <row r="9">
          <cell r="A9" t="str">
            <v>Production - tonne</v>
          </cell>
          <cell r="C9">
            <v>16</v>
          </cell>
          <cell r="E9">
            <v>12.5</v>
          </cell>
          <cell r="G9">
            <v>11.4</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8.2984428221555915E-3</v>
          </cell>
          <cell r="E13" t="str">
            <v xml:space="preserve">   C.I. Premium/ac:</v>
          </cell>
          <cell r="H13">
            <v>13.05</v>
          </cell>
          <cell r="K13">
            <v>2.5146796430774519E-2</v>
          </cell>
        </row>
        <row r="14">
          <cell r="A14" t="str">
            <v xml:space="preserve"> Guaranteed Price/bu</v>
          </cell>
          <cell r="D14">
            <v>23</v>
          </cell>
          <cell r="E14" t="str">
            <v xml:space="preserve">   Level of Coverage</v>
          </cell>
          <cell r="H14">
            <v>0.85</v>
          </cell>
          <cell r="K14">
            <v>7.0902625625642628</v>
          </cell>
        </row>
        <row r="15">
          <cell r="A15" t="str">
            <v xml:space="preserve"> Probability of a payout</v>
          </cell>
          <cell r="D15">
            <v>5.1064266261023235E-3</v>
          </cell>
          <cell r="E15" t="str">
            <v xml:space="preserve">   Guaranteed Yield/ac.</v>
          </cell>
          <cell r="H15">
            <v>10.625</v>
          </cell>
          <cell r="K15" t="e">
            <v>#REF!</v>
          </cell>
        </row>
        <row r="16">
          <cell r="A16" t="str">
            <v xml:space="preserve"> Expected Payout/ac</v>
          </cell>
          <cell r="D16">
            <v>2.5146796430774519E-2</v>
          </cell>
          <cell r="E16" t="str">
            <v xml:space="preserve">   Probability of a payout</v>
          </cell>
          <cell r="H16">
            <v>0.20746928326941261</v>
          </cell>
          <cell r="K16" t="e">
            <v>#REF!</v>
          </cell>
        </row>
        <row r="17">
          <cell r="D17">
            <v>5.1064266261023235E-3</v>
          </cell>
          <cell r="E17" t="str">
            <v xml:space="preserve">   Expected Payout/ac</v>
          </cell>
          <cell r="H17">
            <v>7.0651157661334887</v>
          </cell>
          <cell r="K17">
            <v>328.125</v>
          </cell>
        </row>
        <row r="18">
          <cell r="H18">
            <v>0.20746928326941261</v>
          </cell>
          <cell r="K18">
            <v>101.04864041674843</v>
          </cell>
        </row>
        <row r="19">
          <cell r="A19" t="str">
            <v>Participate in MRIP? (y/n)</v>
          </cell>
          <cell r="D19" t="str">
            <v>Yes</v>
          </cell>
          <cell r="E19" t="str">
            <v xml:space="preserve">  Participate in CI? (y/n)</v>
          </cell>
          <cell r="H19" t="str">
            <v>Yes</v>
          </cell>
          <cell r="K19">
            <v>12.5</v>
          </cell>
        </row>
        <row r="20">
          <cell r="A20" t="str">
            <v>=</v>
          </cell>
          <cell r="B20" t="str">
            <v>=</v>
          </cell>
          <cell r="C20" t="str">
            <v>=</v>
          </cell>
          <cell r="D20" t="str">
            <v>=</v>
          </cell>
          <cell r="E20" t="str">
            <v>=</v>
          </cell>
          <cell r="F20" t="str">
            <v>=</v>
          </cell>
          <cell r="G20" t="str">
            <v>=</v>
          </cell>
          <cell r="H20" t="str">
            <v>=</v>
          </cell>
          <cell r="K20">
            <v>26.25</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35.339999999999996</v>
          </cell>
        </row>
        <row r="24">
          <cell r="A24" t="str">
            <v xml:space="preserve"> Seed </v>
          </cell>
          <cell r="D24" t="str">
            <v>M-kernel</v>
          </cell>
          <cell r="E24">
            <v>31</v>
          </cell>
          <cell r="F24">
            <v>1.1399999999999999</v>
          </cell>
          <cell r="G24">
            <v>35.339999999999996</v>
          </cell>
          <cell r="H24">
            <v>35.339999999999996</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K26">
            <v>13.058298442822156</v>
          </cell>
        </row>
        <row r="27">
          <cell r="A27" t="str">
            <v xml:space="preserve"> Fertilizer   #1</v>
          </cell>
          <cell r="C27" t="str">
            <v>11-52-0</v>
          </cell>
          <cell r="D27" t="str">
            <v>kg</v>
          </cell>
          <cell r="E27">
            <v>28</v>
          </cell>
          <cell r="F27">
            <v>0.44800000000000001</v>
          </cell>
          <cell r="G27">
            <v>12.544</v>
          </cell>
          <cell r="H27">
            <v>12.544</v>
          </cell>
          <cell r="K27">
            <v>0</v>
          </cell>
        </row>
        <row r="28">
          <cell r="A28" t="str">
            <v xml:space="preserve">              #2</v>
          </cell>
          <cell r="C28" t="str">
            <v>0-0-60</v>
          </cell>
          <cell r="D28" t="str">
            <v>kg</v>
          </cell>
          <cell r="E28">
            <v>32</v>
          </cell>
          <cell r="F28">
            <v>0.24</v>
          </cell>
          <cell r="G28">
            <v>7.68</v>
          </cell>
          <cell r="H28">
            <v>7.68</v>
          </cell>
          <cell r="K28">
            <v>0</v>
          </cell>
        </row>
        <row r="29">
          <cell r="A29" t="str">
            <v xml:space="preserve">              #3</v>
          </cell>
          <cell r="C29" t="str">
            <v>28-0-0</v>
          </cell>
          <cell r="D29" t="str">
            <v>kg</v>
          </cell>
          <cell r="E29">
            <v>202</v>
          </cell>
          <cell r="F29">
            <v>0.22500000000000001</v>
          </cell>
          <cell r="G29">
            <v>45.45</v>
          </cell>
          <cell r="H29">
            <v>45.45</v>
          </cell>
        </row>
        <row r="30">
          <cell r="J30" t="str">
            <v>Grip prob factor (component of grip)</v>
          </cell>
          <cell r="K30">
            <v>1.8546857707509892</v>
          </cell>
        </row>
        <row r="31">
          <cell r="D31" t="str">
            <v>Unit/Ac</v>
          </cell>
          <cell r="E31" t="str">
            <v>Number</v>
          </cell>
          <cell r="F31" t="str">
            <v>Cost/Unit</v>
          </cell>
          <cell r="G31" t="str">
            <v>$/Acre</v>
          </cell>
          <cell r="H31" t="str">
            <v>$/Year</v>
          </cell>
          <cell r="J31" t="str">
            <v>C.I. prob factor (component of Crop Insurance)</v>
          </cell>
          <cell r="K31">
            <v>1.2711983695652174</v>
          </cell>
        </row>
        <row r="32">
          <cell r="A32" t="str">
            <v xml:space="preserve"> Herbicide </v>
          </cell>
          <cell r="D32" t="str">
            <v>-------</v>
          </cell>
          <cell r="E32" t="str">
            <v xml:space="preserve">  ------</v>
          </cell>
          <cell r="F32" t="str">
            <v>-</v>
          </cell>
          <cell r="G32" t="str">
            <v xml:space="preserve">  -------</v>
          </cell>
          <cell r="H32" t="str">
            <v xml:space="preserve">  -------</v>
          </cell>
        </row>
        <row r="33">
          <cell r="A33" t="str">
            <v xml:space="preserve">   Annual Grasses</v>
          </cell>
          <cell r="D33" t="str">
            <v>kg or l</v>
          </cell>
          <cell r="E33">
            <v>1</v>
          </cell>
          <cell r="F33">
            <v>20</v>
          </cell>
          <cell r="G33">
            <v>20</v>
          </cell>
          <cell r="H33">
            <v>20</v>
          </cell>
          <cell r="K33">
            <v>13.05</v>
          </cell>
        </row>
        <row r="34">
          <cell r="A34" t="str">
            <v xml:space="preserve">   Broadleaf Herbicides</v>
          </cell>
          <cell r="D34" t="str">
            <v>kg or l</v>
          </cell>
          <cell r="E34">
            <v>0.3</v>
          </cell>
          <cell r="F34">
            <v>28</v>
          </cell>
          <cell r="G34">
            <v>8.4</v>
          </cell>
          <cell r="H34">
            <v>8.4</v>
          </cell>
          <cell r="K34">
            <v>13.058298442822156</v>
          </cell>
        </row>
        <row r="35">
          <cell r="A35" t="str">
            <v xml:space="preserve">   Other Herbicides</v>
          </cell>
          <cell r="D35" t="str">
            <v>kg or l</v>
          </cell>
          <cell r="E35">
            <v>0</v>
          </cell>
          <cell r="F35">
            <v>0</v>
          </cell>
          <cell r="G35">
            <v>0</v>
          </cell>
          <cell r="H35">
            <v>0</v>
          </cell>
        </row>
        <row r="36">
          <cell r="A36" t="str">
            <v xml:space="preserve"> Insecticides</v>
          </cell>
          <cell r="D36" t="str">
            <v>kg or l</v>
          </cell>
          <cell r="E36">
            <v>2.8</v>
          </cell>
          <cell r="F36">
            <v>5.4</v>
          </cell>
          <cell r="G36">
            <v>15.12</v>
          </cell>
          <cell r="H36">
            <v>15.12</v>
          </cell>
        </row>
        <row r="37">
          <cell r="A37" t="str">
            <v xml:space="preserve"> Fungicides</v>
          </cell>
          <cell r="D37" t="str">
            <v>kg or l</v>
          </cell>
          <cell r="E37">
            <v>0</v>
          </cell>
          <cell r="F37">
            <v>0</v>
          </cell>
          <cell r="G37">
            <v>0</v>
          </cell>
          <cell r="H37">
            <v>0</v>
          </cell>
        </row>
        <row r="38">
          <cell r="A38" t="str">
            <v xml:space="preserve"> Crop Insurance</v>
          </cell>
          <cell r="D38" t="str">
            <v>Insurance</v>
          </cell>
          <cell r="E38">
            <v>1</v>
          </cell>
          <cell r="F38">
            <v>13.05</v>
          </cell>
          <cell r="G38">
            <v>13.05</v>
          </cell>
          <cell r="H38">
            <v>13.05</v>
          </cell>
        </row>
        <row r="39">
          <cell r="A39" t="str">
            <v xml:space="preserve"> Market Revenue Insurance</v>
          </cell>
          <cell r="D39" t="str">
            <v>Insurance</v>
          </cell>
          <cell r="E39">
            <v>1</v>
          </cell>
          <cell r="F39">
            <v>8.2984428221555915E-3</v>
          </cell>
          <cell r="G39">
            <v>8.2984428221555915E-3</v>
          </cell>
          <cell r="H39">
            <v>8.2984428221555915E-3</v>
          </cell>
        </row>
        <row r="40">
          <cell r="A40" t="str">
            <v xml:space="preserve"> Custom Work  #1</v>
          </cell>
          <cell r="C40" t="str">
            <v xml:space="preserve">Silo fill        </v>
          </cell>
          <cell r="E40">
            <v>0</v>
          </cell>
          <cell r="F40">
            <v>42</v>
          </cell>
          <cell r="G40">
            <v>0</v>
          </cell>
          <cell r="H40">
            <v>0</v>
          </cell>
        </row>
        <row r="41">
          <cell r="A41" t="str">
            <v xml:space="preserve">              #2</v>
          </cell>
          <cell r="C41" t="str">
            <v>Apply Nitrogen</v>
          </cell>
          <cell r="E41">
            <v>0</v>
          </cell>
          <cell r="F41">
            <v>8</v>
          </cell>
          <cell r="G41">
            <v>0</v>
          </cell>
          <cell r="H41">
            <v>0</v>
          </cell>
        </row>
        <row r="42">
          <cell r="A42" t="str">
            <v xml:space="preserve"> Storage</v>
          </cell>
          <cell r="D42" t="str">
            <v>tonnes</v>
          </cell>
          <cell r="E42">
            <v>0</v>
          </cell>
          <cell r="F42">
            <v>0</v>
          </cell>
          <cell r="G42">
            <v>0</v>
          </cell>
          <cell r="H42">
            <v>0</v>
          </cell>
        </row>
        <row r="43">
          <cell r="A43" t="str">
            <v xml:space="preserve"> Trucking</v>
          </cell>
          <cell r="D43" t="str">
            <v>tonnes</v>
          </cell>
          <cell r="E43">
            <v>12.5</v>
          </cell>
          <cell r="F43">
            <v>0</v>
          </cell>
          <cell r="G43">
            <v>0</v>
          </cell>
          <cell r="H43">
            <v>0</v>
          </cell>
        </row>
        <row r="44">
          <cell r="A44" t="str">
            <v xml:space="preserve"> Marketing Fees</v>
          </cell>
          <cell r="E44">
            <v>0</v>
          </cell>
          <cell r="F44">
            <v>0</v>
          </cell>
          <cell r="G44">
            <v>0</v>
          </cell>
          <cell r="H44">
            <v>0</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20</v>
          </cell>
          <cell r="E53" t="e">
            <v>#REF!</v>
          </cell>
          <cell r="G53" t="e">
            <v>#REF!</v>
          </cell>
          <cell r="H53" t="e">
            <v>#REF!</v>
          </cell>
          <cell r="K53" t="str">
            <v>Wfarm!L8</v>
          </cell>
        </row>
        <row r="54">
          <cell r="A54" t="str">
            <v xml:space="preserve"> Mach. Repair &amp; Maint.</v>
          </cell>
          <cell r="D54">
            <v>20</v>
          </cell>
          <cell r="E54" t="e">
            <v>#REF!</v>
          </cell>
          <cell r="G54" t="e">
            <v>#REF!</v>
          </cell>
          <cell r="H54" t="e">
            <v>#REF!</v>
          </cell>
        </row>
        <row r="55">
          <cell r="A55" t="str">
            <v xml:space="preserve"> Bldg. Repair &amp; Maint.</v>
          </cell>
          <cell r="D55">
            <v>8</v>
          </cell>
          <cell r="E55" t="e">
            <v>#REF!</v>
          </cell>
          <cell r="G55" t="e">
            <v>#REF!</v>
          </cell>
          <cell r="H55" t="e">
            <v>#REF!</v>
          </cell>
        </row>
        <row r="56">
          <cell r="A56" t="str">
            <v xml:space="preserve"> Rent and Labour</v>
          </cell>
          <cell r="D56">
            <v>16</v>
          </cell>
          <cell r="E56" t="e">
            <v>#REF!</v>
          </cell>
          <cell r="G56" t="e">
            <v>#REF!</v>
          </cell>
          <cell r="H56" t="e">
            <v>#REF!</v>
          </cell>
        </row>
        <row r="57">
          <cell r="A57" t="str">
            <v xml:space="preserve"> General Variable Costs</v>
          </cell>
          <cell r="D57">
            <v>15</v>
          </cell>
          <cell r="E57" t="e">
            <v>#REF!</v>
          </cell>
          <cell r="G57" t="e">
            <v>#REF!</v>
          </cell>
          <cell r="H57" t="e">
            <v>#REF!</v>
          </cell>
          <cell r="J57" t="e">
            <v>#REF!</v>
          </cell>
          <cell r="K57" t="str">
            <v>Wfarm!L9</v>
          </cell>
        </row>
        <row r="58">
          <cell r="A58" t="str">
            <v xml:space="preserve"> Interest on</v>
          </cell>
          <cell r="C58" t="str">
            <v>%int</v>
          </cell>
          <cell r="D58" t="str">
            <v>%year</v>
          </cell>
        </row>
        <row r="59">
          <cell r="A59" t="str">
            <v xml:space="preserve"> Operating Capital</v>
          </cell>
          <cell r="C59">
            <v>8</v>
          </cell>
          <cell r="D59">
            <v>40</v>
          </cell>
          <cell r="E59" t="e">
            <v>#REF!</v>
          </cell>
          <cell r="G59" t="e">
            <v>#REF!</v>
          </cell>
          <cell r="H59" t="e">
            <v>#REF!</v>
          </cell>
        </row>
        <row r="60">
          <cell r="G60" t="str">
            <v xml:space="preserve">  -------</v>
          </cell>
          <cell r="H60" t="str">
            <v xml:space="preserve">  -------</v>
          </cell>
        </row>
        <row r="61">
          <cell r="A61" t="str">
            <v>Total Variable Costs</v>
          </cell>
          <cell r="G61" t="e">
            <v>#REF!</v>
          </cell>
          <cell r="H61" t="e">
            <v>#REF!</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31</v>
          </cell>
          <cell r="E64" t="e">
            <v>#REF!</v>
          </cell>
          <cell r="G64" t="e">
            <v>#REF!</v>
          </cell>
          <cell r="H64" t="e">
            <v>#REF!</v>
          </cell>
          <cell r="K64" t="str">
            <v>Wfarm!K5</v>
          </cell>
        </row>
        <row r="65">
          <cell r="A65" t="str">
            <v xml:space="preserve"> Interest on Term Loans</v>
          </cell>
          <cell r="D65">
            <v>19</v>
          </cell>
          <cell r="E65" t="e">
            <v>#REF!</v>
          </cell>
          <cell r="G65" t="e">
            <v>#REF!</v>
          </cell>
          <cell r="H65" t="e">
            <v>#REF!</v>
          </cell>
          <cell r="K65" t="str">
            <v>Wfarm!K6</v>
          </cell>
        </row>
        <row r="66">
          <cell r="A66" t="str">
            <v xml:space="preserve"> Long-term Leases</v>
          </cell>
          <cell r="D66">
            <v>0</v>
          </cell>
          <cell r="E66" t="e">
            <v>#REF!</v>
          </cell>
          <cell r="G66" t="e">
            <v>#REF!</v>
          </cell>
          <cell r="H66" t="e">
            <v>#REF!</v>
          </cell>
          <cell r="K66" t="str">
            <v>Wfarm!K7</v>
          </cell>
        </row>
        <row r="67">
          <cell r="A67" t="str">
            <v xml:space="preserve"> General Fixed Costs</v>
          </cell>
          <cell r="D67">
            <v>5.5</v>
          </cell>
          <cell r="E67" t="e">
            <v>#REF!</v>
          </cell>
          <cell r="G67" t="e">
            <v>#REF!</v>
          </cell>
          <cell r="H67" t="e">
            <v>#REF!</v>
          </cell>
        </row>
        <row r="68">
          <cell r="G68" t="str">
            <v xml:space="preserve">  -------</v>
          </cell>
          <cell r="H68" t="str">
            <v xml:space="preserve">  -------</v>
          </cell>
        </row>
        <row r="69">
          <cell r="A69" t="str">
            <v>Total Fixed Costs</v>
          </cell>
          <cell r="G69" t="e">
            <v>#REF!</v>
          </cell>
          <cell r="H69" t="e">
            <v>#REF!</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328.125</v>
          </cell>
          <cell r="F72">
            <v>328.125</v>
          </cell>
        </row>
        <row r="73">
          <cell r="A73" t="str">
            <v xml:space="preserve">    add: Expected Insurance Revenues</v>
          </cell>
          <cell r="E73">
            <v>7.0902625625642628</v>
          </cell>
          <cell r="F73">
            <v>7.0902625625642628</v>
          </cell>
        </row>
        <row r="74">
          <cell r="A74" t="str">
            <v xml:space="preserve">    less: Variable Costs</v>
          </cell>
          <cell r="E74" t="e">
            <v>#REF!</v>
          </cell>
          <cell r="F74" t="e">
            <v>#REF!</v>
          </cell>
        </row>
        <row r="75">
          <cell r="E75" t="str">
            <v xml:space="preserve">  -------</v>
          </cell>
          <cell r="F75" t="str">
            <v xml:space="preserve">  -------</v>
          </cell>
        </row>
        <row r="76">
          <cell r="A76" t="str">
            <v>Expected Operating Margin</v>
          </cell>
          <cell r="E76" t="e">
            <v>#REF!</v>
          </cell>
          <cell r="F76" t="e">
            <v>#REF!</v>
          </cell>
        </row>
        <row r="77">
          <cell r="A77" t="str">
            <v xml:space="preserve">    less: Fixed Costs</v>
          </cell>
          <cell r="E77" t="e">
            <v>#REF!</v>
          </cell>
          <cell r="F77" t="e">
            <v>#REF!</v>
          </cell>
        </row>
        <row r="78">
          <cell r="E78" t="str">
            <v xml:space="preserve">  -------</v>
          </cell>
          <cell r="F78" t="str">
            <v xml:space="preserve">  -------</v>
          </cell>
        </row>
        <row r="79">
          <cell r="A79" t="str">
            <v>Expected Net Revenue</v>
          </cell>
          <cell r="E79" t="e">
            <v>#REF!</v>
          </cell>
          <cell r="F79" t="e">
            <v>#REF!</v>
          </cell>
        </row>
        <row r="81">
          <cell r="A81" t="str">
            <v xml:space="preserve">      Break-even $/tonne to cover:</v>
          </cell>
          <cell r="E81" t="str">
            <v>Variable Costs</v>
          </cell>
          <cell r="G81" t="e">
            <v>#REF!</v>
          </cell>
        </row>
        <row r="82">
          <cell r="E82" t="str">
            <v>Fixed Costs</v>
          </cell>
          <cell r="G82" t="e">
            <v>#REF!</v>
          </cell>
        </row>
        <row r="83">
          <cell r="G83" t="str">
            <v xml:space="preserve">  -------</v>
          </cell>
        </row>
        <row r="84">
          <cell r="E84" t="str">
            <v>Total Costs</v>
          </cell>
          <cell r="G84" t="e">
            <v>#REF!</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t="e">
            <v>#REF!</v>
          </cell>
        </row>
        <row r="87">
          <cell r="B87" t="str">
            <v>Chance of at least</v>
          </cell>
          <cell r="D87">
            <v>0</v>
          </cell>
          <cell r="E87" t="str">
            <v>$/acre return  ==&gt;</v>
          </cell>
          <cell r="G87" t="e">
            <v>#REF!</v>
          </cell>
        </row>
        <row r="88">
          <cell r="B88" t="str">
            <v>Coefficient of variation                  ==&gt;</v>
          </cell>
          <cell r="G88">
            <v>0.30795776127009045</v>
          </cell>
        </row>
        <row r="89">
          <cell r="H89" t="str">
            <v>mn</v>
          </cell>
          <cell r="I89" t="e">
            <v>#REF!</v>
          </cell>
        </row>
        <row r="90">
          <cell r="C90" t="str">
            <v>Returns $/acre</v>
          </cell>
          <cell r="E90" t="str">
            <v>Chances of at least</v>
          </cell>
          <cell r="H90" t="str">
            <v>ystd</v>
          </cell>
          <cell r="I90">
            <v>3.7967330000000001</v>
          </cell>
        </row>
        <row r="91">
          <cell r="E91" t="str">
            <v>this return per acre</v>
          </cell>
          <cell r="H91" t="str">
            <v>pstd</v>
          </cell>
          <cell r="I91">
            <v>1.2759857499999994</v>
          </cell>
        </row>
        <row r="92">
          <cell r="H92" t="str">
            <v>nrstd</v>
          </cell>
          <cell r="I92">
            <v>101.04864041674843</v>
          </cell>
        </row>
        <row r="93">
          <cell r="C93" t="e">
            <v>#REF!</v>
          </cell>
          <cell r="E93" t="str">
            <v xml:space="preserve">       17 %</v>
          </cell>
        </row>
        <row r="94">
          <cell r="C94" t="e">
            <v>#REF!</v>
          </cell>
          <cell r="E94" t="str">
            <v xml:space="preserve">       33 %</v>
          </cell>
          <cell r="H94" t="str">
            <v>z</v>
          </cell>
          <cell r="I94" t="e">
            <v>#REF!</v>
          </cell>
          <cell r="J94" t="e">
            <v>#REF!</v>
          </cell>
        </row>
        <row r="95">
          <cell r="C95" t="e">
            <v>#REF!</v>
          </cell>
          <cell r="E95" t="str">
            <v xml:space="preserve">       50 %</v>
          </cell>
          <cell r="H95" t="str">
            <v>v1</v>
          </cell>
          <cell r="I95" t="e">
            <v>#REF!</v>
          </cell>
          <cell r="J95" t="e">
            <v>#REF!</v>
          </cell>
        </row>
        <row r="96">
          <cell r="C96" t="e">
            <v>#REF!</v>
          </cell>
          <cell r="E96" t="str">
            <v xml:space="preserve">       67 %</v>
          </cell>
          <cell r="H96" t="str">
            <v>v2</v>
          </cell>
          <cell r="I96" t="e">
            <v>#REF!</v>
          </cell>
          <cell r="J96" t="e">
            <v>#REF!</v>
          </cell>
        </row>
        <row r="97">
          <cell r="C97" t="e">
            <v>#REF!</v>
          </cell>
          <cell r="E97" t="str">
            <v xml:space="preserve">       83 %</v>
          </cell>
          <cell r="H97" t="str">
            <v>p(vx)</v>
          </cell>
          <cell r="I97" t="e">
            <v>#REF!</v>
          </cell>
          <cell r="J97" t="e">
            <v>#REF!</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gov.on.ca/"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AB227"/>
  <sheetViews>
    <sheetView showGridLines="0" tabSelected="1" zoomScaleNormal="100" zoomScaleSheetLayoutView="100" workbookViewId="0">
      <selection activeCell="A5" sqref="A5"/>
    </sheetView>
  </sheetViews>
  <sheetFormatPr defaultColWidth="11" defaultRowHeight="12" x14ac:dyDescent="0.2"/>
  <cols>
    <col min="1" max="5" width="15.7109375" style="2" customWidth="1"/>
    <col min="6" max="6" width="18" style="2" customWidth="1"/>
    <col min="7" max="8" width="15.7109375" style="2" customWidth="1"/>
    <col min="9" max="9" width="14.28515625" style="2" hidden="1" customWidth="1"/>
    <col min="10" max="27" width="9.140625" style="2" hidden="1" customWidth="1"/>
    <col min="28" max="40" width="11" style="2" customWidth="1"/>
    <col min="41" max="41" width="13.28515625" style="2" customWidth="1"/>
    <col min="42" max="49" width="8.7109375" style="2" customWidth="1"/>
    <col min="50" max="50" width="6.42578125" style="2" customWidth="1"/>
    <col min="51" max="240" width="11" style="2" customWidth="1"/>
    <col min="241" max="241" width="8.7109375" style="2" customWidth="1"/>
    <col min="242" max="242" width="3" style="2" customWidth="1"/>
    <col min="243" max="249" width="11" style="2" customWidth="1"/>
    <col min="250" max="250" width="8.7109375" style="2" customWidth="1"/>
    <col min="251" max="251" width="3" style="2" customWidth="1"/>
    <col min="252" max="16384" width="11" style="2"/>
  </cols>
  <sheetData>
    <row r="1" spans="1:27" s="127" customFormat="1" ht="15.75" x14ac:dyDescent="0.25">
      <c r="A1" s="129" t="s">
        <v>180</v>
      </c>
    </row>
    <row r="2" spans="1:27" ht="15.75" x14ac:dyDescent="0.25">
      <c r="A2" s="16" t="s">
        <v>0</v>
      </c>
      <c r="B2" s="17"/>
      <c r="C2" s="18" t="s">
        <v>183</v>
      </c>
      <c r="D2" s="17"/>
      <c r="E2" s="17"/>
      <c r="F2" s="17"/>
      <c r="G2" s="18" t="s">
        <v>182</v>
      </c>
      <c r="H2" s="19"/>
      <c r="I2" s="1"/>
      <c r="J2" s="1"/>
      <c r="K2" s="1"/>
      <c r="L2" s="1"/>
      <c r="AA2" s="3">
        <f ca="1">E139</f>
        <v>22351.708116683185</v>
      </c>
    </row>
    <row r="3" spans="1:27" ht="22.5" customHeight="1" x14ac:dyDescent="0.25">
      <c r="A3" s="20">
        <v>801</v>
      </c>
      <c r="B3" s="21"/>
      <c r="C3" s="21"/>
      <c r="D3" s="22"/>
      <c r="E3" s="21"/>
      <c r="F3" s="23" t="s">
        <v>139</v>
      </c>
      <c r="G3" s="21"/>
      <c r="H3" s="24">
        <f ca="1">AA2</f>
        <v>22351.708116683185</v>
      </c>
      <c r="I3" s="1"/>
      <c r="J3" s="1"/>
      <c r="K3" s="1"/>
      <c r="L3" s="1"/>
      <c r="AA3" s="2">
        <f>C7*D4</f>
        <v>2240</v>
      </c>
    </row>
    <row r="4" spans="1:27" ht="15" customHeight="1" x14ac:dyDescent="0.25">
      <c r="A4" s="25"/>
      <c r="B4" s="23" t="s">
        <v>1</v>
      </c>
      <c r="C4" s="21"/>
      <c r="D4" s="26">
        <v>80</v>
      </c>
      <c r="E4" s="21"/>
      <c r="F4" s="27" t="s">
        <v>2</v>
      </c>
      <c r="G4" s="28">
        <v>2205</v>
      </c>
      <c r="H4" s="29" t="s">
        <v>118</v>
      </c>
      <c r="I4" s="1"/>
      <c r="J4" s="1"/>
      <c r="K4" s="1"/>
      <c r="L4" s="1"/>
      <c r="AA4" s="2">
        <f>E7*D4</f>
        <v>2000</v>
      </c>
    </row>
    <row r="5" spans="1:27" ht="15.75" x14ac:dyDescent="0.25">
      <c r="A5" s="30" t="s">
        <v>174</v>
      </c>
      <c r="B5" s="31"/>
      <c r="C5" s="31"/>
      <c r="D5" s="31"/>
      <c r="E5" s="31"/>
      <c r="F5" s="31"/>
      <c r="G5" s="31"/>
      <c r="H5" s="31"/>
      <c r="I5" s="1"/>
      <c r="J5" s="1"/>
      <c r="K5" s="1"/>
      <c r="L5" s="1"/>
      <c r="AA5" s="2">
        <f>G7*D4</f>
        <v>1760</v>
      </c>
    </row>
    <row r="6" spans="1:27" ht="18.75" customHeight="1" x14ac:dyDescent="0.25">
      <c r="A6" s="25"/>
      <c r="B6" s="21"/>
      <c r="C6" s="32" t="s">
        <v>141</v>
      </c>
      <c r="D6" s="33"/>
      <c r="E6" s="32" t="s">
        <v>142</v>
      </c>
      <c r="F6" s="33"/>
      <c r="G6" s="32" t="s">
        <v>143</v>
      </c>
      <c r="H6" s="34"/>
      <c r="I6" s="1"/>
      <c r="J6" s="1"/>
      <c r="K6" s="1"/>
      <c r="L6" s="1"/>
      <c r="AA6" s="2">
        <f>E7*D13</f>
        <v>18.75</v>
      </c>
    </row>
    <row r="7" spans="1:27" ht="15.75" x14ac:dyDescent="0.25">
      <c r="A7" s="35" t="s">
        <v>150</v>
      </c>
      <c r="B7" s="36"/>
      <c r="C7" s="37">
        <v>28</v>
      </c>
      <c r="D7" s="36"/>
      <c r="E7" s="37">
        <v>25</v>
      </c>
      <c r="F7" s="36"/>
      <c r="G7" s="37">
        <v>22</v>
      </c>
      <c r="H7" s="34"/>
      <c r="I7" s="1"/>
      <c r="J7" s="1"/>
      <c r="K7" s="1"/>
      <c r="L7" s="1"/>
      <c r="AA7" s="2">
        <f>IF(D17&lt;0.0001,0.0001,IF(D17&gt;1,1,D17))</f>
        <v>1.8619687693722454E-2</v>
      </c>
    </row>
    <row r="8" spans="1:27" ht="15.75" x14ac:dyDescent="0.25">
      <c r="A8" s="35" t="s">
        <v>151</v>
      </c>
      <c r="B8" s="36"/>
      <c r="C8" s="38">
        <v>1575</v>
      </c>
      <c r="D8" s="36"/>
      <c r="E8" s="38">
        <v>1432</v>
      </c>
      <c r="F8" s="36"/>
      <c r="G8" s="38">
        <v>1290</v>
      </c>
      <c r="H8" s="34"/>
      <c r="I8" s="1"/>
      <c r="J8" s="1"/>
      <c r="K8" s="1"/>
      <c r="L8" s="1"/>
      <c r="AA8" s="3">
        <f>F133</f>
        <v>2320.8493346549099</v>
      </c>
    </row>
    <row r="9" spans="1:27" ht="15.75" x14ac:dyDescent="0.25">
      <c r="A9" s="39" t="s">
        <v>153</v>
      </c>
      <c r="B9" s="21"/>
      <c r="C9" s="40">
        <f>AA3</f>
        <v>2240</v>
      </c>
      <c r="D9" s="21"/>
      <c r="E9" s="40">
        <f>AA4</f>
        <v>2000</v>
      </c>
      <c r="F9" s="21"/>
      <c r="G9" s="40">
        <f>AA5</f>
        <v>1760</v>
      </c>
      <c r="H9" s="34"/>
      <c r="I9" s="1"/>
      <c r="J9" s="1"/>
      <c r="K9" s="1"/>
      <c r="L9" s="1"/>
      <c r="AA9" s="2">
        <f>E8*(D17*(D14-E7)+((C7-G7)/2)*EXP(-0.5*((D14-E7)/((C7-G7)/2))^2)/SQRT(2*PI()))</f>
        <v>29.010616683186374</v>
      </c>
    </row>
    <row r="10" spans="1:27" ht="15.75" x14ac:dyDescent="0.25">
      <c r="A10" s="31"/>
      <c r="B10" s="31"/>
      <c r="C10" s="31"/>
      <c r="D10" s="31"/>
      <c r="E10" s="31"/>
      <c r="F10" s="31"/>
      <c r="G10" s="31"/>
      <c r="H10" s="31"/>
      <c r="I10" s="1"/>
      <c r="J10" s="1"/>
      <c r="K10" s="1"/>
      <c r="L10" s="1"/>
      <c r="AA10" s="3">
        <f ca="1">H116</f>
        <v>953704.2</v>
      </c>
    </row>
    <row r="11" spans="1:27" ht="15.75" x14ac:dyDescent="0.25">
      <c r="A11" s="39" t="s">
        <v>3</v>
      </c>
      <c r="B11" s="21"/>
      <c r="C11" s="21"/>
      <c r="D11" s="21"/>
      <c r="E11" s="21"/>
      <c r="F11" s="21"/>
      <c r="G11" s="21"/>
      <c r="H11" s="34"/>
      <c r="I11" s="1"/>
      <c r="J11" s="1"/>
      <c r="K11" s="1"/>
      <c r="L11" s="1"/>
      <c r="AA11" s="2">
        <f>(EXP(-0.5*((E7-D14)/((C7-G7)/2))^2)/SQRT(2*PI()))*(0.43618*(K33^(-1))-0.1202*(K33^(-2))+0.9373*(K33^(-3)))</f>
        <v>1.8619687693722454E-2</v>
      </c>
    </row>
    <row r="12" spans="1:27" ht="15.75" x14ac:dyDescent="0.25">
      <c r="A12" s="39" t="s">
        <v>4</v>
      </c>
      <c r="B12" s="21"/>
      <c r="C12" s="41"/>
      <c r="D12" s="42">
        <v>337</v>
      </c>
      <c r="E12" s="23" t="s">
        <v>5</v>
      </c>
      <c r="F12" s="43"/>
      <c r="G12" s="41"/>
      <c r="H12" s="44">
        <v>40</v>
      </c>
      <c r="I12" s="1"/>
      <c r="J12" s="1"/>
      <c r="K12" s="1"/>
      <c r="L12" s="1"/>
      <c r="AA12" s="3">
        <f ca="1">H129</f>
        <v>124480</v>
      </c>
    </row>
    <row r="13" spans="1:27" ht="15.75" x14ac:dyDescent="0.25">
      <c r="A13" s="39" t="s">
        <v>6</v>
      </c>
      <c r="B13" s="21"/>
      <c r="C13" s="41"/>
      <c r="D13" s="45">
        <v>0.75</v>
      </c>
      <c r="E13" s="23" t="s">
        <v>7</v>
      </c>
      <c r="F13" s="43"/>
      <c r="G13" s="46"/>
      <c r="H13" s="47">
        <v>0.04</v>
      </c>
      <c r="I13" s="1"/>
      <c r="J13" s="1"/>
      <c r="K13" s="1"/>
      <c r="L13" s="1"/>
      <c r="AA13" s="3">
        <f>F132</f>
        <v>2864000</v>
      </c>
    </row>
    <row r="14" spans="1:27" ht="15.75" x14ac:dyDescent="0.25">
      <c r="A14" s="39" t="s">
        <v>8</v>
      </c>
      <c r="B14" s="21"/>
      <c r="C14" s="21"/>
      <c r="D14" s="48">
        <f>AA6</f>
        <v>18.75</v>
      </c>
      <c r="E14" s="23" t="s">
        <v>9</v>
      </c>
      <c r="F14" s="43"/>
      <c r="G14" s="21"/>
      <c r="H14" s="47">
        <v>0.02</v>
      </c>
      <c r="I14" s="1"/>
      <c r="J14" s="1"/>
      <c r="K14" s="1"/>
      <c r="L14" s="1"/>
      <c r="AA14" s="2">
        <f>D4*I150</f>
        <v>824237.06670728617</v>
      </c>
    </row>
    <row r="15" spans="1:27" ht="15.75" x14ac:dyDescent="0.25">
      <c r="A15" s="39" t="s">
        <v>10</v>
      </c>
      <c r="B15" s="21"/>
      <c r="C15" s="21"/>
      <c r="D15" s="49">
        <f>AA7</f>
        <v>1.8619687693722454E-2</v>
      </c>
      <c r="E15" s="21"/>
      <c r="F15" s="43"/>
      <c r="G15" s="21"/>
      <c r="H15" s="50"/>
      <c r="I15" s="1"/>
      <c r="J15" s="1"/>
      <c r="K15" s="4">
        <f>AA8</f>
        <v>2320.8493346549099</v>
      </c>
      <c r="L15" s="1"/>
      <c r="AA15" s="2">
        <f>D4*E7/G4</f>
        <v>0.90702947845804993</v>
      </c>
    </row>
    <row r="16" spans="1:27" ht="15.75" x14ac:dyDescent="0.25">
      <c r="A16" s="39" t="s">
        <v>11</v>
      </c>
      <c r="B16" s="21"/>
      <c r="C16" s="21"/>
      <c r="D16" s="51">
        <f>AA9</f>
        <v>29.010616683186374</v>
      </c>
      <c r="E16" s="21" t="s">
        <v>147</v>
      </c>
      <c r="F16" s="21"/>
      <c r="G16" s="21"/>
      <c r="H16" s="52">
        <v>9</v>
      </c>
      <c r="I16" s="1"/>
      <c r="J16" s="1"/>
      <c r="K16" s="4">
        <f ca="1">AA10</f>
        <v>953704.2</v>
      </c>
      <c r="L16" s="1"/>
      <c r="AA16" s="2">
        <f>E8*G4</f>
        <v>3157560</v>
      </c>
    </row>
    <row r="17" spans="1:28" ht="15.75" x14ac:dyDescent="0.25">
      <c r="A17" s="39"/>
      <c r="B17" s="21"/>
      <c r="C17" s="21"/>
      <c r="D17" s="53">
        <f>AA11</f>
        <v>1.8619687693722454E-2</v>
      </c>
      <c r="E17" s="21"/>
      <c r="F17" s="21"/>
      <c r="G17" s="54"/>
      <c r="H17" s="55"/>
      <c r="I17" s="1"/>
      <c r="J17" s="1"/>
      <c r="K17" s="4">
        <f ca="1">AA12</f>
        <v>124480</v>
      </c>
      <c r="L17" s="1"/>
      <c r="AA17" s="2">
        <f>E23*F23</f>
        <v>11896.050000000001</v>
      </c>
    </row>
    <row r="18" spans="1:28" ht="15.75" x14ac:dyDescent="0.25">
      <c r="A18" s="39" t="s">
        <v>12</v>
      </c>
      <c r="B18" s="21"/>
      <c r="C18" s="21"/>
      <c r="D18" s="56" t="s">
        <v>185</v>
      </c>
      <c r="E18" s="21"/>
      <c r="F18" s="21"/>
      <c r="G18" s="21"/>
      <c r="H18" s="57"/>
      <c r="I18" s="1"/>
      <c r="J18" s="1"/>
      <c r="K18" s="4">
        <f>AA13</f>
        <v>2864000</v>
      </c>
      <c r="L18" s="1"/>
      <c r="AA18" s="2">
        <f>G23*D4</f>
        <v>951684.00000000012</v>
      </c>
    </row>
    <row r="19" spans="1:28" ht="15.75" x14ac:dyDescent="0.25">
      <c r="A19" s="31"/>
      <c r="B19" s="31"/>
      <c r="C19" s="31"/>
      <c r="D19" s="31"/>
      <c r="E19" s="31"/>
      <c r="F19" s="31"/>
      <c r="G19" s="31"/>
      <c r="H19" s="31"/>
      <c r="I19" s="1"/>
      <c r="J19" s="1"/>
      <c r="K19" s="5">
        <f>AA14</f>
        <v>824237.06670728617</v>
      </c>
      <c r="L19" s="1"/>
      <c r="AA19" s="2">
        <f>D4</f>
        <v>80</v>
      </c>
    </row>
    <row r="20" spans="1:28" ht="15.75" x14ac:dyDescent="0.25">
      <c r="A20" s="16" t="s">
        <v>13</v>
      </c>
      <c r="B20" s="21"/>
      <c r="C20" s="21"/>
      <c r="D20" s="58" t="s">
        <v>14</v>
      </c>
      <c r="E20" s="58" t="s">
        <v>15</v>
      </c>
      <c r="F20" s="58" t="s">
        <v>16</v>
      </c>
      <c r="G20" s="58" t="s">
        <v>17</v>
      </c>
      <c r="H20" s="59" t="s">
        <v>144</v>
      </c>
      <c r="I20" s="1"/>
      <c r="J20" s="1"/>
      <c r="K20" s="5">
        <f>AA15</f>
        <v>0.90702947845804993</v>
      </c>
      <c r="L20" s="1"/>
      <c r="AA20" s="2">
        <f>E24*F24</f>
        <v>3663</v>
      </c>
    </row>
    <row r="21" spans="1:28" ht="15.75" x14ac:dyDescent="0.25">
      <c r="A21" s="60"/>
      <c r="B21" s="61"/>
      <c r="C21" s="61"/>
      <c r="D21" s="58"/>
      <c r="E21" s="58"/>
      <c r="F21" s="58"/>
      <c r="G21" s="58"/>
      <c r="H21" s="62"/>
      <c r="I21" s="1"/>
      <c r="J21" s="1"/>
      <c r="K21" s="5">
        <f>AA16</f>
        <v>3157560</v>
      </c>
      <c r="L21" s="1"/>
      <c r="AA21" s="2">
        <f>G24*D4</f>
        <v>293040</v>
      </c>
    </row>
    <row r="22" spans="1:28" ht="15.75" x14ac:dyDescent="0.25">
      <c r="A22" s="39" t="s">
        <v>148</v>
      </c>
      <c r="B22" s="21"/>
      <c r="C22" s="63"/>
      <c r="D22" s="21"/>
      <c r="E22" s="21"/>
      <c r="F22" s="21"/>
      <c r="G22" s="21"/>
      <c r="H22" s="34"/>
      <c r="I22" s="1"/>
      <c r="J22" s="1"/>
      <c r="K22" s="6" t="s">
        <v>19</v>
      </c>
      <c r="L22" s="1"/>
      <c r="AA22" s="2">
        <f>E25*F25</f>
        <v>109</v>
      </c>
    </row>
    <row r="23" spans="1:28" ht="15.75" x14ac:dyDescent="0.25">
      <c r="A23" s="39" t="s">
        <v>117</v>
      </c>
      <c r="B23" s="21"/>
      <c r="C23" s="21"/>
      <c r="D23" s="64" t="s">
        <v>20</v>
      </c>
      <c r="E23" s="44">
        <v>1117</v>
      </c>
      <c r="F23" s="42">
        <v>10.65</v>
      </c>
      <c r="G23" s="40">
        <f>AA17</f>
        <v>11896.050000000001</v>
      </c>
      <c r="H23" s="65">
        <f>AA18</f>
        <v>951684.00000000012</v>
      </c>
      <c r="I23" s="1"/>
      <c r="J23" s="1"/>
      <c r="K23" s="5">
        <f>AA19</f>
        <v>80</v>
      </c>
      <c r="L23" s="1"/>
      <c r="AA23" s="2">
        <f>G25*D4</f>
        <v>8720</v>
      </c>
    </row>
    <row r="24" spans="1:28" ht="15.75" x14ac:dyDescent="0.25">
      <c r="A24" s="39" t="s">
        <v>157</v>
      </c>
      <c r="B24" s="21"/>
      <c r="C24" s="21"/>
      <c r="D24" s="64" t="s">
        <v>34</v>
      </c>
      <c r="E24" s="44">
        <v>1</v>
      </c>
      <c r="F24" s="42">
        <v>3663</v>
      </c>
      <c r="G24" s="40">
        <f>AA20</f>
        <v>3663</v>
      </c>
      <c r="H24" s="65">
        <f>AA21</f>
        <v>293040</v>
      </c>
      <c r="I24" s="1"/>
      <c r="J24" s="1"/>
      <c r="K24" s="7">
        <v>0</v>
      </c>
      <c r="L24" s="1"/>
      <c r="AA24" s="2">
        <f>SUM(H74:H78)</f>
        <v>9679.6</v>
      </c>
    </row>
    <row r="25" spans="1:28" ht="15.75" x14ac:dyDescent="0.25">
      <c r="A25" s="39" t="s">
        <v>21</v>
      </c>
      <c r="B25" s="21"/>
      <c r="C25" s="21"/>
      <c r="D25" s="64" t="s">
        <v>34</v>
      </c>
      <c r="E25" s="44">
        <v>1</v>
      </c>
      <c r="F25" s="42">
        <f>27+82</f>
        <v>109</v>
      </c>
      <c r="G25" s="40">
        <f>AA22</f>
        <v>109</v>
      </c>
      <c r="H25" s="65">
        <f>AA23</f>
        <v>8720</v>
      </c>
      <c r="I25" s="1"/>
      <c r="J25" s="1"/>
      <c r="K25" s="5">
        <f>AA24</f>
        <v>9679.6</v>
      </c>
      <c r="L25" s="1"/>
      <c r="AA25" s="2">
        <f>E26*F26</f>
        <v>4386</v>
      </c>
    </row>
    <row r="26" spans="1:28" ht="15.75" x14ac:dyDescent="0.25">
      <c r="A26" s="39" t="s">
        <v>122</v>
      </c>
      <c r="B26" s="21"/>
      <c r="C26" s="21"/>
      <c r="D26" s="64" t="s">
        <v>34</v>
      </c>
      <c r="E26" s="44">
        <v>1</v>
      </c>
      <c r="F26" s="42">
        <f>61+337+551+873+1148+1416</f>
        <v>4386</v>
      </c>
      <c r="G26" s="40">
        <f>AA25</f>
        <v>4386</v>
      </c>
      <c r="H26" s="65">
        <f>AA26</f>
        <v>350880</v>
      </c>
      <c r="I26" s="1"/>
      <c r="J26" s="1"/>
      <c r="K26" s="5">
        <f>AA27</f>
        <v>52800</v>
      </c>
      <c r="L26" s="1"/>
      <c r="AA26" s="2">
        <f>G26*D4</f>
        <v>350880</v>
      </c>
    </row>
    <row r="27" spans="1:28" ht="15.75" x14ac:dyDescent="0.25">
      <c r="A27" s="39" t="s">
        <v>154</v>
      </c>
      <c r="B27" s="21"/>
      <c r="C27" s="41"/>
      <c r="D27" s="64" t="s">
        <v>34</v>
      </c>
      <c r="E27" s="44">
        <v>1</v>
      </c>
      <c r="F27" s="42">
        <f>176+176+258+258+258+258+258</f>
        <v>1642</v>
      </c>
      <c r="G27" s="40">
        <f>AA28</f>
        <v>1642</v>
      </c>
      <c r="H27" s="65">
        <f>AA29</f>
        <v>131360</v>
      </c>
      <c r="I27" s="1"/>
      <c r="J27" s="1"/>
      <c r="K27" s="4">
        <f ca="1">AA30</f>
        <v>1861568.7999999998</v>
      </c>
      <c r="L27" s="1"/>
      <c r="AA27" s="2">
        <f>SUM(H79:H88)</f>
        <v>52800</v>
      </c>
    </row>
    <row r="28" spans="1:28" ht="15.75" x14ac:dyDescent="0.25">
      <c r="A28" s="66" t="s">
        <v>160</v>
      </c>
      <c r="B28" s="21"/>
      <c r="C28" s="41"/>
      <c r="D28" s="64" t="s">
        <v>34</v>
      </c>
      <c r="E28" s="44">
        <v>1</v>
      </c>
      <c r="F28" s="42">
        <f>40+40+40+40+40+40+40+40</f>
        <v>320</v>
      </c>
      <c r="G28" s="40">
        <f>AA34</f>
        <v>320</v>
      </c>
      <c r="H28" s="65">
        <f>AA35</f>
        <v>25600</v>
      </c>
      <c r="I28" s="1"/>
      <c r="J28" s="1"/>
      <c r="K28" s="4">
        <f>AA33</f>
        <v>32640</v>
      </c>
      <c r="L28" s="1"/>
      <c r="AA28" s="2">
        <f>E27*F27</f>
        <v>1642</v>
      </c>
    </row>
    <row r="29" spans="1:28" ht="15.75" x14ac:dyDescent="0.25">
      <c r="A29" s="66" t="s">
        <v>22</v>
      </c>
      <c r="B29" s="21"/>
      <c r="C29" s="41"/>
      <c r="D29" s="64" t="s">
        <v>34</v>
      </c>
      <c r="E29" s="44">
        <v>1</v>
      </c>
      <c r="F29" s="42">
        <f>269+135+135</f>
        <v>539</v>
      </c>
      <c r="G29" s="40">
        <f>AA37</f>
        <v>539</v>
      </c>
      <c r="H29" s="65">
        <f>AA38</f>
        <v>43120</v>
      </c>
      <c r="I29" s="1"/>
      <c r="J29" s="1"/>
      <c r="K29" s="8">
        <f>AA36</f>
        <v>350000</v>
      </c>
      <c r="L29" s="1"/>
      <c r="AA29" s="2">
        <f>G27*D4</f>
        <v>131360</v>
      </c>
      <c r="AB29" s="14"/>
    </row>
    <row r="30" spans="1:28" ht="15.75" x14ac:dyDescent="0.25">
      <c r="A30" s="39" t="s">
        <v>119</v>
      </c>
      <c r="B30" s="67"/>
      <c r="C30" s="21"/>
      <c r="D30" s="64" t="s">
        <v>23</v>
      </c>
      <c r="E30" s="44">
        <f>84+441+83+205+475+255+203-137-137-78-51-31-3</f>
        <v>1309</v>
      </c>
      <c r="F30" s="42">
        <v>14.55</v>
      </c>
      <c r="G30" s="40">
        <f>AA39</f>
        <v>19045.95</v>
      </c>
      <c r="H30" s="65">
        <f>AA40</f>
        <v>1523676</v>
      </c>
      <c r="I30" s="1"/>
      <c r="J30" s="1"/>
      <c r="K30" s="1"/>
      <c r="L30" s="1"/>
      <c r="AA30" s="3">
        <f ca="1">SUM(H71:H73,H92:H123,H103:H104)-H96-H97</f>
        <v>1861568.7999999998</v>
      </c>
    </row>
    <row r="31" spans="1:28" ht="15.75" x14ac:dyDescent="0.25">
      <c r="A31" s="39" t="s">
        <v>120</v>
      </c>
      <c r="B31" s="21"/>
      <c r="C31" s="21"/>
      <c r="D31" s="64" t="s">
        <v>23</v>
      </c>
      <c r="E31" s="44">
        <f>4+13.6+15.9+18.4+21.3+27.2+32.7+37.4-69.7</f>
        <v>100.80000000000003</v>
      </c>
      <c r="F31" s="42">
        <v>17.7</v>
      </c>
      <c r="G31" s="40">
        <f>AA41</f>
        <v>1784.1600000000003</v>
      </c>
      <c r="H31" s="65">
        <f>AA42</f>
        <v>142732.80000000002</v>
      </c>
      <c r="I31" s="1"/>
      <c r="J31" s="1"/>
      <c r="K31" s="1"/>
      <c r="L31" s="1"/>
      <c r="AA31" s="2" t="e">
        <f>#REF!*#REF!</f>
        <v>#REF!</v>
      </c>
    </row>
    <row r="32" spans="1:28" ht="15.75" x14ac:dyDescent="0.25">
      <c r="A32" s="39" t="s">
        <v>27</v>
      </c>
      <c r="B32" s="21"/>
      <c r="C32" s="21"/>
      <c r="D32" s="21"/>
      <c r="E32" s="21"/>
      <c r="F32" s="21"/>
      <c r="G32" s="21"/>
      <c r="H32" s="34"/>
      <c r="I32" s="1"/>
      <c r="J32" s="6" t="s">
        <v>24</v>
      </c>
      <c r="K32" s="6" t="s">
        <v>25</v>
      </c>
      <c r="L32" s="1"/>
      <c r="AA32" s="2" t="e">
        <f>#REF!*D4</f>
        <v>#REF!</v>
      </c>
    </row>
    <row r="33" spans="1:27" ht="15.75" x14ac:dyDescent="0.25">
      <c r="A33" s="39" t="s">
        <v>28</v>
      </c>
      <c r="B33" s="68" t="s">
        <v>127</v>
      </c>
      <c r="C33" s="69"/>
      <c r="D33" s="64" t="s">
        <v>34</v>
      </c>
      <c r="E33" s="44">
        <v>1</v>
      </c>
      <c r="F33" s="70">
        <f>40+40+19+17+25+22+31+28+47+34+53+39+62+45</f>
        <v>502</v>
      </c>
      <c r="G33" s="40">
        <f>AA45</f>
        <v>502</v>
      </c>
      <c r="H33" s="65">
        <f>AA46</f>
        <v>40160</v>
      </c>
      <c r="I33" s="1"/>
      <c r="J33" s="6" t="s">
        <v>26</v>
      </c>
      <c r="K33" s="5">
        <f>AA43</f>
        <v>1.6930625000000001</v>
      </c>
      <c r="L33" s="1"/>
      <c r="AA33" s="3">
        <f>H96+H97</f>
        <v>32640</v>
      </c>
    </row>
    <row r="34" spans="1:27" ht="15.75" x14ac:dyDescent="0.25">
      <c r="A34" s="39" t="s">
        <v>30</v>
      </c>
      <c r="B34" s="71"/>
      <c r="C34" s="72"/>
      <c r="D34" s="64" t="s">
        <v>29</v>
      </c>
      <c r="E34" s="44">
        <v>0</v>
      </c>
      <c r="F34" s="70">
        <v>0</v>
      </c>
      <c r="G34" s="40">
        <f>AA48</f>
        <v>0</v>
      </c>
      <c r="H34" s="65">
        <f>AA49</f>
        <v>0</v>
      </c>
      <c r="I34" s="1"/>
      <c r="J34" s="1"/>
      <c r="K34" s="9">
        <f>AA44</f>
        <v>122480</v>
      </c>
      <c r="L34" s="1"/>
      <c r="AA34" s="2">
        <f>E28*F28</f>
        <v>320</v>
      </c>
    </row>
    <row r="35" spans="1:27" ht="15.75" x14ac:dyDescent="0.25">
      <c r="A35" s="39" t="s">
        <v>31</v>
      </c>
      <c r="B35" s="71"/>
      <c r="C35" s="72"/>
      <c r="D35" s="64" t="s">
        <v>29</v>
      </c>
      <c r="E35" s="44">
        <v>0</v>
      </c>
      <c r="F35" s="70">
        <v>0</v>
      </c>
      <c r="G35" s="40">
        <f>AA50</f>
        <v>0</v>
      </c>
      <c r="H35" s="65">
        <f>AA51</f>
        <v>0</v>
      </c>
      <c r="I35" s="1"/>
      <c r="J35" s="1"/>
      <c r="K35" s="9">
        <f>AA47</f>
        <v>122480</v>
      </c>
      <c r="L35" s="1"/>
      <c r="AA35" s="2">
        <f>G28*D4</f>
        <v>25600</v>
      </c>
    </row>
    <row r="36" spans="1:27" ht="15.75" x14ac:dyDescent="0.25">
      <c r="A36" s="39" t="s">
        <v>149</v>
      </c>
      <c r="B36" s="21"/>
      <c r="C36" s="21"/>
      <c r="D36" s="64" t="s">
        <v>34</v>
      </c>
      <c r="E36" s="44">
        <v>1</v>
      </c>
      <c r="F36" s="42">
        <f>172+172+172+353+353+353+353</f>
        <v>1928</v>
      </c>
      <c r="G36" s="40">
        <f>AA52</f>
        <v>1928</v>
      </c>
      <c r="H36" s="65">
        <f>AA53</f>
        <v>154240</v>
      </c>
      <c r="I36" s="1"/>
      <c r="J36" s="1"/>
      <c r="K36" s="1"/>
      <c r="L36" s="1"/>
      <c r="AA36" s="10">
        <f>SUM(H100:H102)</f>
        <v>350000</v>
      </c>
    </row>
    <row r="37" spans="1:27" ht="15.75" x14ac:dyDescent="0.25">
      <c r="A37" s="39" t="s">
        <v>32</v>
      </c>
      <c r="B37" s="21"/>
      <c r="C37" s="21"/>
      <c r="D37" s="64" t="s">
        <v>34</v>
      </c>
      <c r="E37" s="44">
        <v>1</v>
      </c>
      <c r="F37" s="42">
        <f>174+174+174+267+267+267+267</f>
        <v>1590</v>
      </c>
      <c r="G37" s="40">
        <f>AA54</f>
        <v>1590</v>
      </c>
      <c r="H37" s="65">
        <f>AA55</f>
        <v>127200</v>
      </c>
      <c r="I37" s="1"/>
      <c r="J37" s="1"/>
      <c r="K37" s="1"/>
      <c r="L37" s="1"/>
      <c r="AA37" s="2">
        <f>E29*F29</f>
        <v>539</v>
      </c>
    </row>
    <row r="38" spans="1:27" ht="15.75" x14ac:dyDescent="0.25">
      <c r="A38" s="39" t="s">
        <v>33</v>
      </c>
      <c r="B38" s="21"/>
      <c r="C38" s="21"/>
      <c r="D38" s="64" t="s">
        <v>34</v>
      </c>
      <c r="E38" s="44">
        <v>1</v>
      </c>
      <c r="F38" s="42">
        <f>27+27+40+40+40+40+40</f>
        <v>254</v>
      </c>
      <c r="G38" s="40">
        <f>AA58</f>
        <v>254</v>
      </c>
      <c r="H38" s="65">
        <f>AA59</f>
        <v>20320</v>
      </c>
      <c r="I38" s="1"/>
      <c r="J38" s="1"/>
      <c r="K38" s="1"/>
      <c r="L38" s="1"/>
      <c r="AA38" s="2">
        <f>G29*D4</f>
        <v>43120</v>
      </c>
    </row>
    <row r="39" spans="1:27" ht="15.75" x14ac:dyDescent="0.25">
      <c r="A39" s="39" t="s">
        <v>155</v>
      </c>
      <c r="B39" s="21"/>
      <c r="C39" s="21"/>
      <c r="D39" s="64" t="s">
        <v>34</v>
      </c>
      <c r="E39" s="44">
        <v>1</v>
      </c>
      <c r="F39" s="42">
        <v>50</v>
      </c>
      <c r="G39" s="40">
        <f>AA56</f>
        <v>50</v>
      </c>
      <c r="H39" s="65">
        <f>AA57</f>
        <v>4000</v>
      </c>
      <c r="I39" s="1"/>
      <c r="J39" s="1"/>
      <c r="K39" s="1"/>
      <c r="L39" s="1"/>
      <c r="AA39" s="2">
        <f>E30*F30</f>
        <v>19045.95</v>
      </c>
    </row>
    <row r="40" spans="1:27" ht="15.75" x14ac:dyDescent="0.25">
      <c r="A40" s="39" t="s">
        <v>156</v>
      </c>
      <c r="B40" s="21"/>
      <c r="C40" s="21"/>
      <c r="D40" s="64" t="s">
        <v>34</v>
      </c>
      <c r="E40" s="44">
        <v>1</v>
      </c>
      <c r="F40" s="42">
        <f>50+50+150+150+150+150+150</f>
        <v>850</v>
      </c>
      <c r="G40" s="40">
        <f>AA60</f>
        <v>850</v>
      </c>
      <c r="H40" s="65">
        <f>AA61</f>
        <v>68000</v>
      </c>
      <c r="I40" s="1"/>
      <c r="J40" s="1"/>
      <c r="K40" s="1"/>
      <c r="L40" s="1"/>
      <c r="AA40" s="2">
        <f>G30*D4</f>
        <v>1523676</v>
      </c>
    </row>
    <row r="41" spans="1:27" ht="15.75" x14ac:dyDescent="0.25">
      <c r="A41" s="73" t="s">
        <v>121</v>
      </c>
      <c r="B41" s="69" t="s">
        <v>159</v>
      </c>
      <c r="C41" s="69"/>
      <c r="D41" s="64" t="s">
        <v>34</v>
      </c>
      <c r="E41" s="44">
        <v>1</v>
      </c>
      <c r="F41" s="42">
        <f>50+559</f>
        <v>609</v>
      </c>
      <c r="G41" s="40">
        <f>AA62</f>
        <v>609</v>
      </c>
      <c r="H41" s="65">
        <f>AA63</f>
        <v>48720</v>
      </c>
      <c r="I41" s="1"/>
      <c r="J41" s="1"/>
      <c r="K41" s="1"/>
      <c r="L41" s="1"/>
      <c r="AA41" s="2">
        <f>E31*F31</f>
        <v>1784.1600000000003</v>
      </c>
    </row>
    <row r="42" spans="1:27" ht="15.75" x14ac:dyDescent="0.25">
      <c r="A42" s="73" t="s">
        <v>175</v>
      </c>
      <c r="B42" s="21"/>
      <c r="C42" s="21"/>
      <c r="D42" s="74" t="s">
        <v>34</v>
      </c>
      <c r="E42" s="44">
        <v>1</v>
      </c>
      <c r="F42" s="42">
        <v>2700</v>
      </c>
      <c r="G42" s="40">
        <f>AA65</f>
        <v>2700</v>
      </c>
      <c r="H42" s="65">
        <f>AA66</f>
        <v>216000</v>
      </c>
      <c r="I42" s="11"/>
      <c r="J42" s="11"/>
      <c r="K42" s="11"/>
      <c r="L42" s="1"/>
      <c r="AA42" s="2">
        <f>G31*D4</f>
        <v>142732.80000000002</v>
      </c>
    </row>
    <row r="43" spans="1:27" ht="15.75" x14ac:dyDescent="0.25">
      <c r="A43" s="73" t="s">
        <v>181</v>
      </c>
      <c r="B43" s="21"/>
      <c r="C43" s="21"/>
      <c r="D43" s="74" t="s">
        <v>34</v>
      </c>
      <c r="E43" s="44">
        <v>0</v>
      </c>
      <c r="F43" s="42">
        <v>0</v>
      </c>
      <c r="G43" s="40">
        <f>AA71</f>
        <v>0</v>
      </c>
      <c r="H43" s="65">
        <f>AA72</f>
        <v>0</v>
      </c>
      <c r="I43" s="1"/>
      <c r="J43" s="1"/>
      <c r="K43" s="1"/>
      <c r="L43" s="1"/>
      <c r="AA43" s="2">
        <f>(1+0.33267*((E7-D14)/((C7-G7)/2)))</f>
        <v>1.6930625000000001</v>
      </c>
    </row>
    <row r="44" spans="1:27" ht="15.75" x14ac:dyDescent="0.25">
      <c r="A44" s="39"/>
      <c r="B44" s="21"/>
      <c r="C44" s="41"/>
      <c r="D44" s="21"/>
      <c r="E44" s="21"/>
      <c r="F44" s="21"/>
      <c r="G44" s="54"/>
      <c r="H44" s="50"/>
      <c r="I44" s="1"/>
      <c r="J44" s="1"/>
      <c r="K44" s="1"/>
      <c r="L44" s="1"/>
      <c r="AA44" s="3">
        <f>H95</f>
        <v>122480</v>
      </c>
    </row>
    <row r="45" spans="1:27" ht="15.75" x14ac:dyDescent="0.25">
      <c r="A45" s="39" t="s">
        <v>35</v>
      </c>
      <c r="B45" s="21"/>
      <c r="C45" s="41"/>
      <c r="D45" s="64" t="s">
        <v>34</v>
      </c>
      <c r="E45" s="44">
        <v>1</v>
      </c>
      <c r="F45" s="44">
        <f>56+190+228+269+316+412+495+573-1133</f>
        <v>1406</v>
      </c>
      <c r="G45" s="40">
        <f>AA64</f>
        <v>1406</v>
      </c>
      <c r="H45" s="65">
        <f>AA73</f>
        <v>112480</v>
      </c>
      <c r="I45" s="1"/>
      <c r="J45" s="1"/>
      <c r="K45" s="1"/>
      <c r="L45" s="1"/>
      <c r="AA45" s="2">
        <f>E33*F33</f>
        <v>502</v>
      </c>
    </row>
    <row r="46" spans="1:27" ht="15.75" x14ac:dyDescent="0.25">
      <c r="A46" s="39" t="s">
        <v>36</v>
      </c>
      <c r="B46" s="21"/>
      <c r="C46" s="41"/>
      <c r="D46" s="64" t="s">
        <v>34</v>
      </c>
      <c r="E46" s="44">
        <v>1</v>
      </c>
      <c r="F46" s="44">
        <f>25+108+123+147+164+204+246+276-439</f>
        <v>854</v>
      </c>
      <c r="G46" s="40">
        <f>AA74</f>
        <v>854</v>
      </c>
      <c r="H46" s="65">
        <f>AA75</f>
        <v>68320</v>
      </c>
      <c r="I46" s="11"/>
      <c r="J46" s="11"/>
      <c r="K46" s="11"/>
      <c r="L46" s="1"/>
      <c r="AA46" s="2">
        <f>G33*D4</f>
        <v>40160</v>
      </c>
    </row>
    <row r="47" spans="1:27" ht="15.75" x14ac:dyDescent="0.25">
      <c r="A47" s="39" t="s">
        <v>37</v>
      </c>
      <c r="B47" s="21"/>
      <c r="C47" s="21"/>
      <c r="D47" s="64" t="s">
        <v>34</v>
      </c>
      <c r="E47" s="44">
        <v>1</v>
      </c>
      <c r="F47" s="44">
        <f>74+805+1140+1287+1313+1351+1042+502-13</f>
        <v>7501</v>
      </c>
      <c r="G47" s="40">
        <f>AA76</f>
        <v>7501</v>
      </c>
      <c r="H47" s="65">
        <f>AA77</f>
        <v>600080</v>
      </c>
      <c r="I47" s="1"/>
      <c r="J47" s="1"/>
      <c r="K47" s="1"/>
      <c r="L47" s="1"/>
      <c r="AA47" s="3">
        <f>K34+0</f>
        <v>122480</v>
      </c>
    </row>
    <row r="48" spans="1:27" ht="15.75" x14ac:dyDescent="0.25">
      <c r="A48" s="39" t="s">
        <v>38</v>
      </c>
      <c r="B48" s="21"/>
      <c r="C48" s="21"/>
      <c r="D48" s="64" t="s">
        <v>34</v>
      </c>
      <c r="E48" s="44">
        <v>0</v>
      </c>
      <c r="F48" s="44">
        <v>0</v>
      </c>
      <c r="G48" s="40">
        <f>AA78</f>
        <v>0</v>
      </c>
      <c r="H48" s="65">
        <f>AA79</f>
        <v>0</v>
      </c>
      <c r="I48" s="1"/>
      <c r="J48" s="1"/>
      <c r="K48" s="1"/>
      <c r="L48" s="1"/>
      <c r="AA48" s="2">
        <f>E34*F34</f>
        <v>0</v>
      </c>
    </row>
    <row r="49" spans="1:27" ht="15.75" x14ac:dyDescent="0.25">
      <c r="A49" s="25"/>
      <c r="B49" s="21"/>
      <c r="C49" s="21"/>
      <c r="D49" s="21"/>
      <c r="E49" s="21"/>
      <c r="F49" s="41"/>
      <c r="G49" s="58" t="s">
        <v>39</v>
      </c>
      <c r="H49" s="59" t="s">
        <v>39</v>
      </c>
      <c r="I49" s="1"/>
      <c r="J49" s="1"/>
      <c r="K49" s="1"/>
      <c r="L49" s="1"/>
      <c r="AA49" s="2">
        <f>G34*D4</f>
        <v>0</v>
      </c>
    </row>
    <row r="50" spans="1:27" ht="15.75" x14ac:dyDescent="0.25">
      <c r="A50" s="39" t="s">
        <v>40</v>
      </c>
      <c r="B50" s="21"/>
      <c r="C50" s="21"/>
      <c r="D50" s="21"/>
      <c r="E50" s="21"/>
      <c r="F50" s="41"/>
      <c r="G50" s="40">
        <f>AA80</f>
        <v>61629.16</v>
      </c>
      <c r="H50" s="65">
        <f>AA81</f>
        <v>4930332.8</v>
      </c>
      <c r="I50" s="1"/>
      <c r="J50" s="1"/>
      <c r="K50" s="1"/>
      <c r="L50" s="1"/>
      <c r="AA50" s="2">
        <f>E35*F35</f>
        <v>0</v>
      </c>
    </row>
    <row r="51" spans="1:27" ht="15.75" x14ac:dyDescent="0.25">
      <c r="A51" s="39"/>
      <c r="B51" s="21"/>
      <c r="C51" s="21"/>
      <c r="D51" s="21"/>
      <c r="E51" s="21"/>
      <c r="F51" s="41"/>
      <c r="G51" s="54"/>
      <c r="H51" s="50"/>
      <c r="I51" s="1"/>
      <c r="J51" s="1"/>
      <c r="K51" s="1"/>
      <c r="L51" s="1"/>
      <c r="AA51" s="2">
        <f>G35*D4</f>
        <v>0</v>
      </c>
    </row>
    <row r="52" spans="1:27" ht="15.75" x14ac:dyDescent="0.25">
      <c r="A52" s="75"/>
      <c r="B52" s="21"/>
      <c r="C52" s="21"/>
      <c r="D52" s="21"/>
      <c r="E52" s="54"/>
      <c r="F52" s="21"/>
      <c r="G52" s="54"/>
      <c r="H52" s="76"/>
      <c r="I52" s="1"/>
      <c r="J52" s="1"/>
      <c r="K52" s="1"/>
      <c r="L52" s="1"/>
      <c r="AA52" s="2">
        <f>E36*F36</f>
        <v>1928</v>
      </c>
    </row>
    <row r="53" spans="1:27" ht="15.75" x14ac:dyDescent="0.25">
      <c r="A53" s="25"/>
      <c r="B53" s="21"/>
      <c r="C53" s="21"/>
      <c r="D53" s="58" t="s">
        <v>14</v>
      </c>
      <c r="E53" s="58" t="s">
        <v>15</v>
      </c>
      <c r="F53" s="58" t="s">
        <v>16</v>
      </c>
      <c r="G53" s="58" t="s">
        <v>17</v>
      </c>
      <c r="H53" s="59" t="s">
        <v>144</v>
      </c>
      <c r="I53" s="1"/>
      <c r="J53" s="1"/>
      <c r="K53" s="1"/>
      <c r="L53" s="1"/>
      <c r="AA53" s="2">
        <f>G36*D4</f>
        <v>154240</v>
      </c>
    </row>
    <row r="54" spans="1:27" ht="15.75" x14ac:dyDescent="0.25">
      <c r="A54" s="39" t="s">
        <v>41</v>
      </c>
      <c r="B54" s="21"/>
      <c r="C54" s="21"/>
      <c r="D54" s="58" t="s">
        <v>42</v>
      </c>
      <c r="E54" s="58" t="s">
        <v>43</v>
      </c>
      <c r="F54" s="58" t="s">
        <v>44</v>
      </c>
      <c r="G54" s="58" t="s">
        <v>39</v>
      </c>
      <c r="H54" s="59" t="s">
        <v>39</v>
      </c>
      <c r="I54" s="1"/>
      <c r="J54" s="1"/>
      <c r="K54" s="1"/>
      <c r="L54" s="1"/>
      <c r="AA54" s="2">
        <f>E37*F37</f>
        <v>1590</v>
      </c>
    </row>
    <row r="55" spans="1:27" ht="15.75" x14ac:dyDescent="0.25">
      <c r="A55" s="39" t="s">
        <v>124</v>
      </c>
      <c r="B55" s="21"/>
      <c r="C55" s="21"/>
      <c r="D55" s="64" t="s">
        <v>34</v>
      </c>
      <c r="E55" s="44">
        <v>1</v>
      </c>
      <c r="F55" s="44">
        <f>39+158+175+210+231+278+328+361-500</f>
        <v>1280</v>
      </c>
      <c r="G55" s="40">
        <f>AA82</f>
        <v>1280</v>
      </c>
      <c r="H55" s="65">
        <f>AA83</f>
        <v>102400</v>
      </c>
      <c r="I55" s="1"/>
      <c r="J55" s="1"/>
      <c r="K55" s="1"/>
      <c r="L55" s="1"/>
      <c r="AA55" s="2">
        <f>G37*D4</f>
        <v>127200</v>
      </c>
    </row>
    <row r="56" spans="1:27" ht="15.75" x14ac:dyDescent="0.25">
      <c r="A56" s="39" t="s">
        <v>123</v>
      </c>
      <c r="B56" s="21"/>
      <c r="C56" s="21"/>
      <c r="D56" s="64" t="s">
        <v>34</v>
      </c>
      <c r="E56" s="44">
        <v>1</v>
      </c>
      <c r="F56" s="44">
        <f>9+35+40+49+54+65+76+84-120</f>
        <v>292</v>
      </c>
      <c r="G56" s="40">
        <f>AA84</f>
        <v>292</v>
      </c>
      <c r="H56" s="65">
        <f>AA85</f>
        <v>23360</v>
      </c>
      <c r="I56" s="1"/>
      <c r="J56" s="1"/>
      <c r="K56" s="1"/>
      <c r="L56" s="1"/>
      <c r="AA56" s="2">
        <f>E39*F39</f>
        <v>50</v>
      </c>
    </row>
    <row r="57" spans="1:27" ht="15.75" x14ac:dyDescent="0.25">
      <c r="A57" s="39" t="s">
        <v>130</v>
      </c>
      <c r="B57" s="21"/>
      <c r="C57" s="21"/>
      <c r="D57" s="64" t="s">
        <v>34</v>
      </c>
      <c r="E57" s="44">
        <v>0</v>
      </c>
      <c r="F57" s="44">
        <v>0</v>
      </c>
      <c r="G57" s="40">
        <f>AA86</f>
        <v>0</v>
      </c>
      <c r="H57" s="65">
        <f>AA87</f>
        <v>0</v>
      </c>
      <c r="I57" s="1"/>
      <c r="J57" s="1"/>
      <c r="K57" s="1"/>
      <c r="L57" s="1"/>
      <c r="AA57" s="2">
        <f>G39*D4</f>
        <v>4000</v>
      </c>
    </row>
    <row r="58" spans="1:27" ht="15.75" x14ac:dyDescent="0.25">
      <c r="A58" s="39" t="s">
        <v>158</v>
      </c>
      <c r="B58" s="21"/>
      <c r="C58" s="21"/>
      <c r="D58" s="64" t="s">
        <v>34</v>
      </c>
      <c r="E58" s="44">
        <v>1</v>
      </c>
      <c r="F58" s="44">
        <f>160+160+160+160+160</f>
        <v>800</v>
      </c>
      <c r="G58" s="40">
        <f>AA88</f>
        <v>800</v>
      </c>
      <c r="H58" s="65">
        <f>AA89</f>
        <v>64000</v>
      </c>
      <c r="I58" s="1"/>
      <c r="J58" s="1"/>
      <c r="K58" s="1"/>
      <c r="L58" s="1"/>
      <c r="AA58" s="2">
        <f>E38*F38</f>
        <v>254</v>
      </c>
    </row>
    <row r="59" spans="1:27" ht="15.75" x14ac:dyDescent="0.25">
      <c r="A59" s="39" t="s">
        <v>45</v>
      </c>
      <c r="B59" s="21"/>
      <c r="C59" s="21"/>
      <c r="D59" s="64" t="s">
        <v>34</v>
      </c>
      <c r="E59" s="44">
        <v>1</v>
      </c>
      <c r="F59" s="44">
        <f>470+940+940+940+940+940+940+940-97</f>
        <v>6953</v>
      </c>
      <c r="G59" s="40">
        <f>AA90</f>
        <v>6953</v>
      </c>
      <c r="H59" s="65">
        <f>AA91</f>
        <v>556240</v>
      </c>
      <c r="I59" s="1"/>
      <c r="J59" s="1"/>
      <c r="K59" s="1"/>
      <c r="L59" s="1"/>
      <c r="AA59" s="2">
        <f>G38*D4</f>
        <v>20320</v>
      </c>
    </row>
    <row r="60" spans="1:27" ht="15.75" x14ac:dyDescent="0.25">
      <c r="A60" s="25"/>
      <c r="B60" s="21"/>
      <c r="C60" s="21"/>
      <c r="D60" s="21"/>
      <c r="E60" s="21"/>
      <c r="F60" s="41"/>
      <c r="G60" s="58" t="s">
        <v>39</v>
      </c>
      <c r="H60" s="59" t="s">
        <v>39</v>
      </c>
      <c r="I60" s="1"/>
      <c r="J60" s="1"/>
      <c r="K60" s="1"/>
      <c r="L60" s="1"/>
      <c r="AA60" s="2">
        <f>E40*F40</f>
        <v>850</v>
      </c>
    </row>
    <row r="61" spans="1:27" ht="15.75" x14ac:dyDescent="0.25">
      <c r="A61" s="39" t="s">
        <v>46</v>
      </c>
      <c r="B61" s="21"/>
      <c r="C61" s="21"/>
      <c r="D61" s="21"/>
      <c r="E61" s="21"/>
      <c r="F61" s="41"/>
      <c r="G61" s="40">
        <f>AA92</f>
        <v>9325</v>
      </c>
      <c r="H61" s="65">
        <f>AA93</f>
        <v>746000</v>
      </c>
      <c r="I61" s="1"/>
      <c r="J61" s="1"/>
      <c r="K61" s="1"/>
      <c r="L61" s="1"/>
      <c r="AA61" s="2">
        <f>G40*D4</f>
        <v>68000</v>
      </c>
    </row>
    <row r="62" spans="1:27" ht="15.75" x14ac:dyDescent="0.25">
      <c r="A62" s="25"/>
      <c r="B62" s="21"/>
      <c r="C62" s="21"/>
      <c r="D62" s="21"/>
      <c r="E62" s="21"/>
      <c r="F62" s="41"/>
      <c r="G62" s="54"/>
      <c r="H62" s="50"/>
      <c r="I62" s="1"/>
      <c r="J62" s="1"/>
      <c r="K62" s="1"/>
      <c r="L62" s="1"/>
      <c r="AA62" s="2">
        <f>E41*F41</f>
        <v>609</v>
      </c>
    </row>
    <row r="63" spans="1:27" ht="15.75" x14ac:dyDescent="0.25">
      <c r="A63" s="39" t="s">
        <v>47</v>
      </c>
      <c r="B63" s="21"/>
      <c r="C63" s="21"/>
      <c r="D63" s="21"/>
      <c r="E63" s="21"/>
      <c r="F63" s="41"/>
      <c r="G63" s="40">
        <f>G50+G61</f>
        <v>70954.16</v>
      </c>
      <c r="H63" s="65">
        <f>AA94</f>
        <v>5676332.7999999998</v>
      </c>
      <c r="I63" s="1"/>
      <c r="J63" s="1"/>
      <c r="K63" s="1"/>
      <c r="L63" s="1"/>
      <c r="AA63" s="2">
        <f>G41*D4</f>
        <v>48720</v>
      </c>
    </row>
    <row r="64" spans="1:27" ht="15.75" x14ac:dyDescent="0.25">
      <c r="A64" s="39"/>
      <c r="B64" s="21"/>
      <c r="C64" s="21"/>
      <c r="D64" s="21"/>
      <c r="E64" s="21"/>
      <c r="F64" s="41"/>
      <c r="G64" s="40"/>
      <c r="H64" s="65"/>
      <c r="I64" s="1"/>
      <c r="J64" s="1"/>
      <c r="K64" s="1"/>
      <c r="L64" s="1"/>
      <c r="AA64" s="2">
        <f>E45*F45</f>
        <v>1406</v>
      </c>
    </row>
    <row r="65" spans="1:27" ht="15.75" x14ac:dyDescent="0.25">
      <c r="A65" s="132"/>
      <c r="B65" s="131"/>
      <c r="C65" s="131"/>
      <c r="D65" s="131"/>
      <c r="E65" s="131"/>
      <c r="F65" s="135" t="s">
        <v>17</v>
      </c>
      <c r="G65" s="135" t="s">
        <v>17</v>
      </c>
      <c r="H65" s="136" t="s">
        <v>144</v>
      </c>
      <c r="I65" s="1"/>
      <c r="J65" s="1"/>
      <c r="K65" s="1"/>
      <c r="L65" s="1"/>
      <c r="AA65" s="2">
        <f>E42*F42</f>
        <v>2700</v>
      </c>
    </row>
    <row r="66" spans="1:27" ht="15.75" x14ac:dyDescent="0.25">
      <c r="A66" s="132" t="s">
        <v>184</v>
      </c>
      <c r="B66" s="131"/>
      <c r="C66" s="131"/>
      <c r="D66" s="131"/>
      <c r="E66" s="131"/>
      <c r="F66" s="134">
        <v>105589</v>
      </c>
      <c r="G66" s="133">
        <f>AA95</f>
        <v>105589</v>
      </c>
      <c r="H66" s="137">
        <f>+AA96</f>
        <v>8447120</v>
      </c>
      <c r="I66" s="1"/>
      <c r="J66" s="1"/>
      <c r="K66" s="1"/>
      <c r="L66" s="1"/>
      <c r="AA66" s="2">
        <f>G42*D4</f>
        <v>216000</v>
      </c>
    </row>
    <row r="67" spans="1:27" ht="15.75" x14ac:dyDescent="0.25">
      <c r="A67" s="138"/>
      <c r="B67" s="139"/>
      <c r="C67" s="139"/>
      <c r="D67" s="139"/>
      <c r="E67" s="139"/>
      <c r="F67" s="78"/>
      <c r="G67" s="140"/>
      <c r="H67" s="141"/>
      <c r="I67" s="1"/>
      <c r="J67" s="1"/>
      <c r="K67" s="1"/>
      <c r="L67" s="1"/>
      <c r="AA67" s="2" t="e">
        <f>#REF!*#REF!</f>
        <v>#REF!</v>
      </c>
    </row>
    <row r="68" spans="1:27" ht="15.75" x14ac:dyDescent="0.25">
      <c r="A68" s="82"/>
      <c r="B68" s="61"/>
      <c r="C68" s="61"/>
      <c r="D68" s="61"/>
      <c r="E68" s="61"/>
      <c r="F68" s="61"/>
      <c r="G68" s="61"/>
      <c r="H68" s="83"/>
      <c r="I68" s="1"/>
      <c r="J68" s="1"/>
      <c r="K68" s="1"/>
      <c r="L68" s="1"/>
      <c r="AA68" s="2" t="e">
        <f>#REF!*D4</f>
        <v>#REF!</v>
      </c>
    </row>
    <row r="69" spans="1:27" ht="15.75" x14ac:dyDescent="0.25">
      <c r="A69" s="25"/>
      <c r="B69" s="21"/>
      <c r="C69" s="21"/>
      <c r="D69" s="58" t="s">
        <v>14</v>
      </c>
      <c r="E69" s="58" t="s">
        <v>15</v>
      </c>
      <c r="F69" s="58" t="s">
        <v>16</v>
      </c>
      <c r="G69" s="58" t="s">
        <v>17</v>
      </c>
      <c r="H69" s="59" t="s">
        <v>18</v>
      </c>
      <c r="I69" s="1"/>
      <c r="J69" s="1"/>
      <c r="K69" s="1"/>
      <c r="L69" s="1"/>
      <c r="AA69" s="2" t="e">
        <f>#REF!*#REF!</f>
        <v>#REF!</v>
      </c>
    </row>
    <row r="70" spans="1:27" ht="15.75" x14ac:dyDescent="0.25">
      <c r="A70" s="39" t="s">
        <v>48</v>
      </c>
      <c r="B70" s="21"/>
      <c r="C70" s="21"/>
      <c r="D70" s="58" t="s">
        <v>42</v>
      </c>
      <c r="E70" s="58" t="s">
        <v>43</v>
      </c>
      <c r="F70" s="58" t="s">
        <v>44</v>
      </c>
      <c r="G70" s="58" t="s">
        <v>39</v>
      </c>
      <c r="H70" s="59" t="s">
        <v>39</v>
      </c>
      <c r="I70" s="1"/>
      <c r="J70" s="1"/>
      <c r="K70" s="1"/>
      <c r="L70" s="1"/>
      <c r="AA70" s="2" t="e">
        <f>#REF!*D4</f>
        <v>#REF!</v>
      </c>
    </row>
    <row r="71" spans="1:27" ht="15.75" x14ac:dyDescent="0.25">
      <c r="A71" s="39"/>
      <c r="B71" s="21"/>
      <c r="C71" s="21"/>
      <c r="D71" s="21"/>
      <c r="E71" s="21"/>
      <c r="F71" s="41"/>
      <c r="G71" s="22"/>
      <c r="H71" s="59"/>
      <c r="I71" s="1"/>
      <c r="J71" s="1"/>
      <c r="K71" s="1"/>
      <c r="L71" s="1"/>
      <c r="AA71" s="2">
        <f>E43*F43</f>
        <v>0</v>
      </c>
    </row>
    <row r="72" spans="1:27" ht="15.75" x14ac:dyDescent="0.25">
      <c r="A72" s="39" t="s">
        <v>125</v>
      </c>
      <c r="B72" s="21"/>
      <c r="C72" s="21"/>
      <c r="D72" s="64" t="s">
        <v>23</v>
      </c>
      <c r="E72" s="44">
        <v>203</v>
      </c>
      <c r="F72" s="42">
        <v>14.85</v>
      </c>
      <c r="G72" s="40">
        <f>AA100</f>
        <v>3014.5499999999997</v>
      </c>
      <c r="H72" s="65">
        <f>AA101</f>
        <v>241163.99999999997</v>
      </c>
      <c r="I72" s="1"/>
      <c r="J72" s="1"/>
      <c r="K72" s="1"/>
      <c r="L72" s="1"/>
      <c r="AA72" s="2">
        <f>G43*D4</f>
        <v>0</v>
      </c>
    </row>
    <row r="73" spans="1:27" ht="15.75" x14ac:dyDescent="0.25">
      <c r="A73" s="39" t="s">
        <v>126</v>
      </c>
      <c r="B73" s="21"/>
      <c r="C73" s="21"/>
      <c r="D73" s="64" t="s">
        <v>23</v>
      </c>
      <c r="E73" s="44">
        <v>38.6</v>
      </c>
      <c r="F73" s="42">
        <v>17.7</v>
      </c>
      <c r="G73" s="40">
        <f>AA102</f>
        <v>683.22</v>
      </c>
      <c r="H73" s="65">
        <f>AA103</f>
        <v>54657.600000000006</v>
      </c>
      <c r="I73" s="1"/>
      <c r="J73" s="1"/>
      <c r="K73" s="1"/>
      <c r="L73" s="1"/>
      <c r="AA73" s="2">
        <f>G45*D4</f>
        <v>112480</v>
      </c>
    </row>
    <row r="74" spans="1:27" ht="15.75" x14ac:dyDescent="0.25">
      <c r="A74" s="39" t="s">
        <v>50</v>
      </c>
      <c r="B74" s="21"/>
      <c r="C74" s="21"/>
      <c r="D74" s="21"/>
      <c r="E74" s="21"/>
      <c r="F74" s="41"/>
      <c r="G74" s="21"/>
      <c r="H74" s="34"/>
      <c r="I74" s="1"/>
      <c r="J74" s="1"/>
      <c r="K74" s="1"/>
      <c r="L74" s="1"/>
      <c r="AA74" s="2">
        <f>E46*F46</f>
        <v>854</v>
      </c>
    </row>
    <row r="75" spans="1:27" ht="15.75" x14ac:dyDescent="0.25">
      <c r="A75" s="39" t="s">
        <v>28</v>
      </c>
      <c r="B75" s="68" t="s">
        <v>152</v>
      </c>
      <c r="C75" s="84"/>
      <c r="D75" s="64" t="s">
        <v>161</v>
      </c>
      <c r="E75" s="44">
        <v>115</v>
      </c>
      <c r="F75" s="70">
        <v>0.61699999999999999</v>
      </c>
      <c r="G75" s="40">
        <f>AA104</f>
        <v>70.954999999999998</v>
      </c>
      <c r="H75" s="65">
        <f>AA105</f>
        <v>5676.4</v>
      </c>
      <c r="I75" s="1"/>
      <c r="J75" s="1"/>
      <c r="K75" s="1"/>
      <c r="L75" s="1"/>
      <c r="AA75" s="2">
        <f>G46*D4</f>
        <v>68320</v>
      </c>
    </row>
    <row r="76" spans="1:27" ht="15.75" x14ac:dyDescent="0.25">
      <c r="A76" s="39" t="s">
        <v>30</v>
      </c>
      <c r="B76" s="71" t="s">
        <v>162</v>
      </c>
      <c r="C76" s="85"/>
      <c r="D76" s="64" t="s">
        <v>163</v>
      </c>
      <c r="E76" s="44">
        <v>90</v>
      </c>
      <c r="F76" s="70">
        <v>0.55600000000000005</v>
      </c>
      <c r="G76" s="40">
        <f>AA106</f>
        <v>50.040000000000006</v>
      </c>
      <c r="H76" s="65">
        <f>AA107</f>
        <v>4003.2000000000007</v>
      </c>
      <c r="I76" s="1"/>
      <c r="J76" s="1"/>
      <c r="K76" s="1"/>
      <c r="L76" s="1"/>
      <c r="AA76" s="2">
        <f>E47*F47</f>
        <v>7501</v>
      </c>
    </row>
    <row r="77" spans="1:27" ht="15.75" x14ac:dyDescent="0.25">
      <c r="A77" s="39" t="s">
        <v>31</v>
      </c>
      <c r="B77" s="71"/>
      <c r="C77" s="85"/>
      <c r="D77" s="64" t="s">
        <v>29</v>
      </c>
      <c r="E77" s="44">
        <v>0</v>
      </c>
      <c r="F77" s="70">
        <v>0</v>
      </c>
      <c r="G77" s="40">
        <f>AA108</f>
        <v>0</v>
      </c>
      <c r="H77" s="65">
        <f>AA109</f>
        <v>0</v>
      </c>
      <c r="I77" s="1"/>
      <c r="J77" s="1"/>
      <c r="K77" s="1"/>
      <c r="L77" s="1"/>
      <c r="AA77" s="2">
        <f>G47*D4</f>
        <v>600080</v>
      </c>
    </row>
    <row r="78" spans="1:27" ht="15.75" x14ac:dyDescent="0.25">
      <c r="A78" s="39"/>
      <c r="B78" s="21"/>
      <c r="C78" s="21"/>
      <c r="D78" s="21"/>
      <c r="E78" s="54"/>
      <c r="F78" s="41"/>
      <c r="G78" s="54"/>
      <c r="H78" s="50"/>
      <c r="I78" s="1"/>
      <c r="J78" s="1"/>
      <c r="K78" s="1"/>
      <c r="L78" s="1"/>
      <c r="AA78" s="2">
        <f>E48*F48</f>
        <v>0</v>
      </c>
    </row>
    <row r="79" spans="1:27" ht="15.75" x14ac:dyDescent="0.25">
      <c r="A79" s="25"/>
      <c r="B79" s="21"/>
      <c r="C79" s="21"/>
      <c r="D79" s="58" t="s">
        <v>14</v>
      </c>
      <c r="E79" s="58" t="s">
        <v>15</v>
      </c>
      <c r="F79" s="58" t="s">
        <v>16</v>
      </c>
      <c r="G79" s="58" t="s">
        <v>17</v>
      </c>
      <c r="H79" s="59" t="s">
        <v>18</v>
      </c>
      <c r="I79" s="1"/>
      <c r="J79" s="1"/>
      <c r="K79" s="1"/>
      <c r="L79" s="1"/>
      <c r="AA79" s="2">
        <f>G48*D4</f>
        <v>0</v>
      </c>
    </row>
    <row r="80" spans="1:27" ht="15.75" x14ac:dyDescent="0.25">
      <c r="A80" s="39" t="s">
        <v>177</v>
      </c>
      <c r="B80" s="21"/>
      <c r="C80" s="21"/>
      <c r="D80" s="58" t="s">
        <v>42</v>
      </c>
      <c r="E80" s="58" t="s">
        <v>43</v>
      </c>
      <c r="F80" s="58" t="s">
        <v>44</v>
      </c>
      <c r="G80" s="58" t="s">
        <v>39</v>
      </c>
      <c r="H80" s="59" t="s">
        <v>39</v>
      </c>
      <c r="I80" s="1"/>
      <c r="J80" s="1"/>
      <c r="K80" s="1"/>
      <c r="L80" s="1"/>
      <c r="AA80" s="3">
        <f>SUM(G23:G48)</f>
        <v>61629.16</v>
      </c>
    </row>
    <row r="81" spans="1:27" ht="15.75" x14ac:dyDescent="0.25">
      <c r="A81" s="39" t="s">
        <v>28</v>
      </c>
      <c r="B81" s="86" t="s">
        <v>176</v>
      </c>
      <c r="C81" s="84"/>
      <c r="D81" s="64" t="s">
        <v>34</v>
      </c>
      <c r="E81" s="44">
        <v>1</v>
      </c>
      <c r="F81" s="42">
        <v>353</v>
      </c>
      <c r="G81" s="40">
        <f>AA115</f>
        <v>353</v>
      </c>
      <c r="H81" s="65">
        <f>AA116</f>
        <v>28240</v>
      </c>
      <c r="I81" s="1"/>
      <c r="J81" s="1"/>
      <c r="K81" s="1"/>
      <c r="L81" s="1"/>
      <c r="AA81" s="3">
        <f>SUM(H23:H48)</f>
        <v>4930332.8</v>
      </c>
    </row>
    <row r="82" spans="1:27" ht="15.75" x14ac:dyDescent="0.25">
      <c r="A82" s="39" t="s">
        <v>30</v>
      </c>
      <c r="B82" s="71"/>
      <c r="C82" s="85"/>
      <c r="D82" s="64" t="s">
        <v>29</v>
      </c>
      <c r="E82" s="44">
        <v>0</v>
      </c>
      <c r="F82" s="42">
        <v>0</v>
      </c>
      <c r="G82" s="40">
        <f>AA117</f>
        <v>0</v>
      </c>
      <c r="H82" s="65">
        <f>AA118</f>
        <v>0</v>
      </c>
      <c r="I82" s="11"/>
      <c r="J82" s="1"/>
      <c r="K82" s="1"/>
      <c r="L82" s="1"/>
      <c r="AA82" s="2">
        <f>E55*F55</f>
        <v>1280</v>
      </c>
    </row>
    <row r="83" spans="1:27" ht="15.75" x14ac:dyDescent="0.25">
      <c r="A83" s="39" t="s">
        <v>51</v>
      </c>
      <c r="B83" s="87"/>
      <c r="C83" s="87"/>
      <c r="D83" s="21"/>
      <c r="E83" s="21"/>
      <c r="F83" s="21"/>
      <c r="G83" s="54"/>
      <c r="H83" s="50"/>
      <c r="I83" s="11"/>
      <c r="J83" s="1"/>
      <c r="K83" s="1"/>
      <c r="L83" s="1"/>
      <c r="AA83" s="2">
        <f>G55*D4</f>
        <v>102400</v>
      </c>
    </row>
    <row r="84" spans="1:27" ht="15.75" x14ac:dyDescent="0.25">
      <c r="A84" s="39" t="s">
        <v>28</v>
      </c>
      <c r="B84" s="64" t="s">
        <v>52</v>
      </c>
      <c r="C84" s="87"/>
      <c r="D84" s="64" t="s">
        <v>34</v>
      </c>
      <c r="E84" s="44">
        <v>1</v>
      </c>
      <c r="F84" s="42">
        <v>267</v>
      </c>
      <c r="G84" s="40">
        <f>AA120</f>
        <v>267</v>
      </c>
      <c r="H84" s="65">
        <f>AA121</f>
        <v>21360</v>
      </c>
      <c r="I84" s="11"/>
      <c r="J84" s="1"/>
      <c r="K84" s="1"/>
      <c r="L84" s="1"/>
      <c r="AA84" s="2">
        <f>E56*F56</f>
        <v>292</v>
      </c>
    </row>
    <row r="85" spans="1:27" ht="15.75" x14ac:dyDescent="0.25">
      <c r="A85" s="39" t="s">
        <v>30</v>
      </c>
      <c r="B85" s="68"/>
      <c r="C85" s="84"/>
      <c r="D85" s="64" t="s">
        <v>29</v>
      </c>
      <c r="E85" s="44">
        <v>0</v>
      </c>
      <c r="F85" s="42">
        <v>0</v>
      </c>
      <c r="G85" s="40">
        <f>AA122</f>
        <v>0</v>
      </c>
      <c r="H85" s="65">
        <f>AA123</f>
        <v>0</v>
      </c>
      <c r="I85" s="11"/>
      <c r="J85" s="1"/>
      <c r="K85" s="1"/>
      <c r="L85" s="1"/>
      <c r="AA85" s="2">
        <f>G56*D4</f>
        <v>23360</v>
      </c>
    </row>
    <row r="86" spans="1:27" ht="15.75" x14ac:dyDescent="0.25">
      <c r="A86" s="39" t="s">
        <v>53</v>
      </c>
      <c r="B86" s="87"/>
      <c r="C86" s="87"/>
      <c r="D86" s="21"/>
      <c r="E86" s="54"/>
      <c r="F86" s="54"/>
      <c r="G86" s="54"/>
      <c r="H86" s="50"/>
      <c r="I86" s="1"/>
      <c r="J86" s="1"/>
      <c r="K86" s="1"/>
      <c r="L86" s="1"/>
      <c r="AA86" s="2">
        <f>E57*F57</f>
        <v>0</v>
      </c>
    </row>
    <row r="87" spans="1:27" ht="15.75" x14ac:dyDescent="0.25">
      <c r="A87" s="39" t="s">
        <v>28</v>
      </c>
      <c r="B87" s="86" t="s">
        <v>54</v>
      </c>
      <c r="C87" s="84"/>
      <c r="D87" s="64" t="s">
        <v>34</v>
      </c>
      <c r="E87" s="44">
        <v>1</v>
      </c>
      <c r="F87" s="42">
        <v>40</v>
      </c>
      <c r="G87" s="40">
        <f>AA125</f>
        <v>40</v>
      </c>
      <c r="H87" s="65">
        <f>AA126</f>
        <v>3200</v>
      </c>
      <c r="I87" s="11"/>
      <c r="J87" s="11"/>
      <c r="K87" s="1"/>
      <c r="L87" s="1"/>
      <c r="AA87" s="2">
        <f>G57*D4</f>
        <v>0</v>
      </c>
    </row>
    <row r="88" spans="1:27" ht="15.75" x14ac:dyDescent="0.25">
      <c r="A88" s="39" t="s">
        <v>30</v>
      </c>
      <c r="B88" s="71"/>
      <c r="C88" s="88"/>
      <c r="D88" s="64" t="s">
        <v>34</v>
      </c>
      <c r="E88" s="44">
        <v>0</v>
      </c>
      <c r="F88" s="42">
        <v>0</v>
      </c>
      <c r="G88" s="40">
        <f>AA127</f>
        <v>0</v>
      </c>
      <c r="H88" s="65">
        <f>AA128</f>
        <v>0</v>
      </c>
      <c r="I88" s="11"/>
      <c r="J88" s="11"/>
      <c r="K88" s="1"/>
      <c r="L88" s="1"/>
      <c r="AA88" s="2">
        <f>E58*F58</f>
        <v>800</v>
      </c>
    </row>
    <row r="89" spans="1:27" ht="15.75" x14ac:dyDescent="0.25">
      <c r="A89" s="39"/>
      <c r="B89" s="21"/>
      <c r="C89" s="21"/>
      <c r="D89" s="21"/>
      <c r="E89" s="21"/>
      <c r="F89" s="21"/>
      <c r="G89" s="21"/>
      <c r="H89" s="34"/>
      <c r="I89" s="11"/>
      <c r="J89" s="11"/>
      <c r="K89" s="1"/>
      <c r="L89" s="1"/>
      <c r="AA89" s="2">
        <f>G58*D4</f>
        <v>64000</v>
      </c>
    </row>
    <row r="90" spans="1:27" ht="15.75" x14ac:dyDescent="0.25">
      <c r="A90" s="25"/>
      <c r="B90" s="21"/>
      <c r="C90" s="21"/>
      <c r="D90" s="58" t="s">
        <v>14</v>
      </c>
      <c r="E90" s="58" t="s">
        <v>15</v>
      </c>
      <c r="F90" s="58" t="s">
        <v>16</v>
      </c>
      <c r="G90" s="58" t="s">
        <v>17</v>
      </c>
      <c r="H90" s="59" t="s">
        <v>18</v>
      </c>
      <c r="I90" s="11"/>
      <c r="J90" s="11"/>
      <c r="K90" s="1"/>
      <c r="L90" s="1"/>
      <c r="AA90" s="2">
        <f>E59*F59</f>
        <v>6953</v>
      </c>
    </row>
    <row r="91" spans="1:27" ht="15.75" x14ac:dyDescent="0.25">
      <c r="A91" s="39" t="s">
        <v>55</v>
      </c>
      <c r="B91" s="21"/>
      <c r="C91" s="54"/>
      <c r="D91" s="58" t="s">
        <v>42</v>
      </c>
      <c r="E91" s="58" t="s">
        <v>43</v>
      </c>
      <c r="F91" s="58" t="s">
        <v>44</v>
      </c>
      <c r="G91" s="58" t="s">
        <v>39</v>
      </c>
      <c r="H91" s="59" t="s">
        <v>39</v>
      </c>
      <c r="I91" s="11"/>
      <c r="J91" s="1"/>
      <c r="K91" s="1"/>
      <c r="L91" s="1"/>
      <c r="AA91" s="2">
        <f>G59*D4</f>
        <v>556240</v>
      </c>
    </row>
    <row r="92" spans="1:27" ht="15.75" x14ac:dyDescent="0.25">
      <c r="A92" s="39" t="s">
        <v>164</v>
      </c>
      <c r="B92" s="21"/>
      <c r="C92" s="54"/>
      <c r="D92" s="64" t="s">
        <v>34</v>
      </c>
      <c r="E92" s="44">
        <v>1</v>
      </c>
      <c r="F92" s="42">
        <v>0</v>
      </c>
      <c r="G92" s="40">
        <f>AA133</f>
        <v>0</v>
      </c>
      <c r="H92" s="65">
        <f>AA134</f>
        <v>0</v>
      </c>
      <c r="I92" s="11"/>
      <c r="J92" s="1"/>
      <c r="K92" s="1"/>
      <c r="L92" s="1"/>
      <c r="AA92" s="3">
        <f>SUM(G55:G59)</f>
        <v>9325</v>
      </c>
    </row>
    <row r="93" spans="1:27" ht="15.75" x14ac:dyDescent="0.25">
      <c r="A93" s="39" t="s">
        <v>165</v>
      </c>
      <c r="B93" s="21"/>
      <c r="C93" s="54"/>
      <c r="D93" s="64" t="s">
        <v>34</v>
      </c>
      <c r="E93" s="44">
        <v>1</v>
      </c>
      <c r="F93" s="42">
        <v>0</v>
      </c>
      <c r="G93" s="40">
        <f>AA135</f>
        <v>0</v>
      </c>
      <c r="H93" s="65">
        <f>AA136</f>
        <v>0</v>
      </c>
      <c r="I93" s="11"/>
      <c r="J93" s="11"/>
      <c r="K93" s="1"/>
      <c r="L93" s="1"/>
      <c r="AA93" s="3">
        <f>SUM(H55:H59)</f>
        <v>746000</v>
      </c>
    </row>
    <row r="94" spans="1:27" ht="15.75" x14ac:dyDescent="0.25">
      <c r="A94" s="39" t="s">
        <v>166</v>
      </c>
      <c r="B94" s="21"/>
      <c r="C94" s="21"/>
      <c r="D94" s="64" t="s">
        <v>34</v>
      </c>
      <c r="E94" s="44">
        <v>1</v>
      </c>
      <c r="F94" s="42">
        <v>40</v>
      </c>
      <c r="G94" s="40">
        <f>AA137</f>
        <v>40</v>
      </c>
      <c r="H94" s="65">
        <f>AA138</f>
        <v>3200</v>
      </c>
      <c r="I94" s="11"/>
      <c r="J94" s="11"/>
      <c r="K94" s="1"/>
      <c r="L94" s="1"/>
      <c r="AA94" s="3">
        <f>H50+H61</f>
        <v>5676332.7999999998</v>
      </c>
    </row>
    <row r="95" spans="1:27" ht="15.75" x14ac:dyDescent="0.25">
      <c r="A95" s="39" t="s">
        <v>3</v>
      </c>
      <c r="B95" s="21"/>
      <c r="C95" s="21"/>
      <c r="D95" s="74" t="s">
        <v>56</v>
      </c>
      <c r="E95" s="58">
        <f>AA139</f>
        <v>1</v>
      </c>
      <c r="F95" s="48">
        <v>1531</v>
      </c>
      <c r="G95" s="40">
        <f>F95</f>
        <v>1531</v>
      </c>
      <c r="H95" s="65">
        <f>AA142</f>
        <v>122480</v>
      </c>
      <c r="I95" s="11"/>
      <c r="J95" s="11"/>
      <c r="K95" s="1"/>
      <c r="L95" s="1"/>
      <c r="AA95" s="3">
        <f>F66</f>
        <v>105589</v>
      </c>
    </row>
    <row r="96" spans="1:27" ht="15.75" x14ac:dyDescent="0.25">
      <c r="A96" s="39" t="s">
        <v>178</v>
      </c>
      <c r="B96" s="21"/>
      <c r="C96" s="21"/>
      <c r="D96" s="64" t="s">
        <v>34</v>
      </c>
      <c r="E96" s="44">
        <v>1</v>
      </c>
      <c r="F96" s="42">
        <v>150</v>
      </c>
      <c r="G96" s="40">
        <f>AA143</f>
        <v>150</v>
      </c>
      <c r="H96" s="65">
        <f>AA144</f>
        <v>12000</v>
      </c>
      <c r="I96" s="11"/>
      <c r="J96" s="11"/>
      <c r="K96" s="1"/>
      <c r="L96" s="1"/>
      <c r="AA96" s="3">
        <f>G66*D4</f>
        <v>8447120</v>
      </c>
    </row>
    <row r="97" spans="1:27" ht="15.75" x14ac:dyDescent="0.25">
      <c r="A97" s="39" t="s">
        <v>167</v>
      </c>
      <c r="B97" s="21"/>
      <c r="C97" s="54"/>
      <c r="D97" s="87" t="s">
        <v>34</v>
      </c>
      <c r="E97" s="44">
        <v>1</v>
      </c>
      <c r="F97" s="42">
        <v>258</v>
      </c>
      <c r="G97" s="40">
        <f>AA145</f>
        <v>258</v>
      </c>
      <c r="H97" s="65">
        <f>AA146</f>
        <v>20640</v>
      </c>
      <c r="I97" s="11"/>
      <c r="J97" s="11"/>
      <c r="K97" s="1"/>
      <c r="L97" s="1"/>
      <c r="AA97" s="2">
        <f>H126/D4</f>
        <v>0</v>
      </c>
    </row>
    <row r="98" spans="1:27" ht="15.75" x14ac:dyDescent="0.25">
      <c r="A98" s="25"/>
      <c r="B98" s="21"/>
      <c r="C98" s="21"/>
      <c r="D98" s="21"/>
      <c r="E98" s="21"/>
      <c r="F98" s="21"/>
      <c r="G98" s="21"/>
      <c r="H98" s="34"/>
      <c r="I98" s="13"/>
      <c r="J98" s="11"/>
      <c r="K98" s="1"/>
      <c r="L98" s="1"/>
      <c r="AA98" s="2">
        <f>IF(F126&gt;0,F126,IF(G66&gt;G63,0,PMT(H13-H14,H12,-H63)))</f>
        <v>0</v>
      </c>
    </row>
    <row r="99" spans="1:27" ht="15.75" x14ac:dyDescent="0.25">
      <c r="A99" s="25"/>
      <c r="B99" s="21"/>
      <c r="C99" s="21"/>
      <c r="D99" s="21"/>
      <c r="E99" s="21"/>
      <c r="F99" s="21"/>
      <c r="G99" s="21"/>
      <c r="H99" s="34"/>
      <c r="I99" s="11"/>
      <c r="J99" s="11"/>
      <c r="K99" s="1"/>
      <c r="L99" s="1"/>
      <c r="AA99" s="2" t="str">
        <f>" -OR- Amortized over "&amp;FIXED(H12,0,TRUE)&amp;" years (Leave Dir. Entry at 0)"</f>
        <v xml:space="preserve"> -OR- Amortized over 40 years (Leave Dir. Entry at 0)</v>
      </c>
    </row>
    <row r="100" spans="1:27" ht="15.75" x14ac:dyDescent="0.25">
      <c r="A100" s="39" t="s">
        <v>57</v>
      </c>
      <c r="B100" s="21"/>
      <c r="C100" s="21"/>
      <c r="D100" s="21"/>
      <c r="E100" s="21"/>
      <c r="F100" s="41"/>
      <c r="G100" s="41"/>
      <c r="H100" s="89"/>
      <c r="I100" s="11"/>
      <c r="J100" s="1"/>
      <c r="K100" s="1"/>
      <c r="L100" s="1"/>
      <c r="AA100" s="2">
        <f>F72*E72</f>
        <v>3014.5499999999997</v>
      </c>
    </row>
    <row r="101" spans="1:27" ht="15.75" x14ac:dyDescent="0.25">
      <c r="A101" s="39" t="s">
        <v>58</v>
      </c>
      <c r="B101" s="68" t="s">
        <v>168</v>
      </c>
      <c r="C101" s="84"/>
      <c r="D101" s="64" t="s">
        <v>34</v>
      </c>
      <c r="E101" s="44">
        <v>1</v>
      </c>
      <c r="F101" s="42">
        <v>4375</v>
      </c>
      <c r="G101" s="40">
        <f>AA150</f>
        <v>4375</v>
      </c>
      <c r="H101" s="65">
        <f>AA151</f>
        <v>350000</v>
      </c>
      <c r="I101" s="11"/>
      <c r="J101" s="1"/>
      <c r="K101" s="1"/>
      <c r="L101" s="1"/>
      <c r="AA101" s="2">
        <f>G72*D4</f>
        <v>241163.99999999997</v>
      </c>
    </row>
    <row r="102" spans="1:27" ht="15.75" x14ac:dyDescent="0.25">
      <c r="A102" s="39" t="s">
        <v>59</v>
      </c>
      <c r="B102" s="68"/>
      <c r="C102" s="84"/>
      <c r="D102" s="64" t="s">
        <v>20</v>
      </c>
      <c r="E102" s="44">
        <v>0</v>
      </c>
      <c r="F102" s="42">
        <v>0</v>
      </c>
      <c r="G102" s="40">
        <f>AA152</f>
        <v>0</v>
      </c>
      <c r="H102" s="65">
        <f>AA153</f>
        <v>0</v>
      </c>
      <c r="I102" s="11"/>
      <c r="J102" s="11"/>
      <c r="K102" s="1"/>
      <c r="L102" s="1"/>
      <c r="AA102" s="2">
        <f>F73*E73</f>
        <v>683.22</v>
      </c>
    </row>
    <row r="103" spans="1:27" ht="15.75" x14ac:dyDescent="0.25">
      <c r="A103" s="39" t="s">
        <v>171</v>
      </c>
      <c r="B103" s="85"/>
      <c r="C103" s="85"/>
      <c r="D103" s="64" t="s">
        <v>20</v>
      </c>
      <c r="E103" s="44">
        <v>0</v>
      </c>
      <c r="F103" s="42">
        <v>0</v>
      </c>
      <c r="G103" s="40">
        <f>AA154</f>
        <v>0</v>
      </c>
      <c r="H103" s="65">
        <f>AA155</f>
        <v>0</v>
      </c>
      <c r="I103" s="11"/>
      <c r="J103" s="11"/>
      <c r="K103" s="1"/>
      <c r="L103" s="1"/>
      <c r="AA103" s="2">
        <f>G73*D4</f>
        <v>54657.600000000006</v>
      </c>
    </row>
    <row r="104" spans="1:27" ht="15.75" x14ac:dyDescent="0.25">
      <c r="A104" s="39" t="s">
        <v>60</v>
      </c>
      <c r="B104" s="74" t="s">
        <v>61</v>
      </c>
      <c r="C104" s="21"/>
      <c r="D104" s="64" t="s">
        <v>61</v>
      </c>
      <c r="E104" s="44">
        <v>0</v>
      </c>
      <c r="F104" s="42">
        <v>0</v>
      </c>
      <c r="G104" s="40">
        <f>AA156</f>
        <v>0</v>
      </c>
      <c r="H104" s="65">
        <f>AA157</f>
        <v>0</v>
      </c>
      <c r="I104" s="11"/>
      <c r="J104" s="11"/>
      <c r="K104" s="1"/>
      <c r="L104" s="1"/>
      <c r="AA104" s="2">
        <f>F75*E75</f>
        <v>70.954999999999998</v>
      </c>
    </row>
    <row r="105" spans="1:27" ht="15.75" x14ac:dyDescent="0.25">
      <c r="A105" s="25"/>
      <c r="B105" s="21"/>
      <c r="C105" s="54"/>
      <c r="D105" s="58" t="s">
        <v>62</v>
      </c>
      <c r="E105" s="90" t="s">
        <v>63</v>
      </c>
      <c r="F105" s="41"/>
      <c r="G105" s="54"/>
      <c r="H105" s="34"/>
      <c r="I105" s="11"/>
      <c r="J105" s="11"/>
      <c r="K105" s="1"/>
      <c r="L105" s="1"/>
      <c r="AA105" s="2">
        <f>G75*D4</f>
        <v>5676.4</v>
      </c>
    </row>
    <row r="106" spans="1:27" ht="15.75" x14ac:dyDescent="0.25">
      <c r="A106" s="25"/>
      <c r="B106" s="21"/>
      <c r="C106" s="54"/>
      <c r="D106" s="58" t="s">
        <v>64</v>
      </c>
      <c r="E106" s="90" t="s">
        <v>65</v>
      </c>
      <c r="F106" s="41"/>
      <c r="G106" s="58" t="s">
        <v>17</v>
      </c>
      <c r="H106" s="59" t="s">
        <v>18</v>
      </c>
      <c r="I106" s="11"/>
      <c r="J106" s="1"/>
      <c r="K106" s="1"/>
      <c r="L106" s="1"/>
      <c r="AA106" s="2">
        <f>F76*E76</f>
        <v>50.040000000000006</v>
      </c>
    </row>
    <row r="107" spans="1:27" ht="15.75" x14ac:dyDescent="0.25">
      <c r="A107" s="39" t="s">
        <v>66</v>
      </c>
      <c r="B107" s="21"/>
      <c r="C107" s="54"/>
      <c r="D107" s="44">
        <v>590</v>
      </c>
      <c r="E107" s="91">
        <f ca="1">AA158</f>
        <v>0</v>
      </c>
      <c r="F107" s="41"/>
      <c r="G107" s="40">
        <f ca="1">AA159</f>
        <v>590</v>
      </c>
      <c r="H107" s="65">
        <f ca="1">AA160</f>
        <v>47200</v>
      </c>
      <c r="I107" s="11"/>
      <c r="J107" s="1"/>
      <c r="K107" s="1"/>
      <c r="L107" s="1"/>
      <c r="AA107" s="2">
        <f>G76*D4</f>
        <v>4003.2000000000007</v>
      </c>
    </row>
    <row r="108" spans="1:27" ht="15.75" x14ac:dyDescent="0.25">
      <c r="A108" s="39" t="s">
        <v>67</v>
      </c>
      <c r="B108" s="21"/>
      <c r="C108" s="21"/>
      <c r="D108" s="44">
        <v>282</v>
      </c>
      <c r="E108" s="91">
        <f ca="1">AA161</f>
        <v>0</v>
      </c>
      <c r="F108" s="41"/>
      <c r="G108" s="40">
        <f ca="1">AA162</f>
        <v>282</v>
      </c>
      <c r="H108" s="65">
        <f ca="1">AA163</f>
        <v>22560</v>
      </c>
      <c r="I108" s="11"/>
      <c r="J108" s="1"/>
      <c r="K108" s="1"/>
      <c r="L108" s="1"/>
      <c r="AA108" s="2">
        <f>F77*E77</f>
        <v>0</v>
      </c>
    </row>
    <row r="109" spans="1:27" ht="15.75" x14ac:dyDescent="0.25">
      <c r="A109" s="39" t="s">
        <v>68</v>
      </c>
      <c r="B109" s="21"/>
      <c r="C109" s="21"/>
      <c r="D109" s="44">
        <v>0</v>
      </c>
      <c r="E109" s="91">
        <f ca="1">AA164</f>
        <v>0</v>
      </c>
      <c r="F109" s="21"/>
      <c r="G109" s="40">
        <f ca="1">AA165</f>
        <v>0</v>
      </c>
      <c r="H109" s="65">
        <f ca="1">AA166</f>
        <v>0</v>
      </c>
      <c r="I109" s="11"/>
      <c r="J109" s="11"/>
      <c r="K109" s="1"/>
      <c r="L109" s="1"/>
      <c r="AA109" s="2">
        <f>G77*D4</f>
        <v>0</v>
      </c>
    </row>
    <row r="110" spans="1:27" ht="15.75" x14ac:dyDescent="0.25">
      <c r="A110" s="39" t="s">
        <v>172</v>
      </c>
      <c r="B110" s="21"/>
      <c r="C110" s="21"/>
      <c r="D110" s="44">
        <v>0</v>
      </c>
      <c r="E110" s="91">
        <f ca="1">AA167</f>
        <v>0</v>
      </c>
      <c r="F110" s="21"/>
      <c r="G110" s="40">
        <f ca="1">AA168</f>
        <v>0</v>
      </c>
      <c r="H110" s="65">
        <f ca="1">AA169</f>
        <v>0</v>
      </c>
      <c r="I110" s="11"/>
      <c r="J110" s="11"/>
      <c r="K110" s="1"/>
      <c r="L110" s="1"/>
      <c r="AA110" s="2" t="e">
        <f>#REF!*#REF!</f>
        <v>#REF!</v>
      </c>
    </row>
    <row r="111" spans="1:27" ht="15.75" x14ac:dyDescent="0.25">
      <c r="A111" s="39" t="s">
        <v>69</v>
      </c>
      <c r="B111" s="21"/>
      <c r="C111" s="21"/>
      <c r="D111" s="44">
        <v>0</v>
      </c>
      <c r="E111" s="91">
        <f ca="1">AA170</f>
        <v>0</v>
      </c>
      <c r="F111" s="41"/>
      <c r="G111" s="40">
        <f ca="1">AA171</f>
        <v>0</v>
      </c>
      <c r="H111" s="65">
        <f ca="1">AA172</f>
        <v>0</v>
      </c>
      <c r="I111" s="11"/>
      <c r="J111" s="11"/>
      <c r="K111" s="1"/>
      <c r="L111" s="1"/>
      <c r="AA111" s="2" t="e">
        <f>#REF!*D4</f>
        <v>#REF!</v>
      </c>
    </row>
    <row r="112" spans="1:27" ht="15.75" x14ac:dyDescent="0.25">
      <c r="A112" s="39"/>
      <c r="B112" s="21"/>
      <c r="C112" s="21"/>
      <c r="D112" s="21"/>
      <c r="E112" s="92"/>
      <c r="F112" s="21"/>
      <c r="G112" s="21"/>
      <c r="H112" s="89"/>
      <c r="I112" s="11"/>
      <c r="J112" s="11"/>
      <c r="K112" s="1"/>
      <c r="L112" s="1"/>
      <c r="AA112" s="2" t="e">
        <f>#REF!*#REF!</f>
        <v>#REF!</v>
      </c>
    </row>
    <row r="113" spans="1:27" ht="15.75" x14ac:dyDescent="0.25">
      <c r="A113" s="39" t="s">
        <v>72</v>
      </c>
      <c r="B113" s="21"/>
      <c r="C113" s="58" t="s">
        <v>73</v>
      </c>
      <c r="D113" s="58" t="s">
        <v>74</v>
      </c>
      <c r="E113" s="93"/>
      <c r="F113" s="41"/>
      <c r="G113" s="54"/>
      <c r="H113" s="89"/>
      <c r="I113" s="11"/>
      <c r="J113" s="11"/>
      <c r="K113" s="6" t="s">
        <v>70</v>
      </c>
      <c r="L113" s="1"/>
      <c r="AA113" s="2" t="e">
        <f>#REF!*D4</f>
        <v>#REF!</v>
      </c>
    </row>
    <row r="114" spans="1:27" ht="15.75" x14ac:dyDescent="0.25">
      <c r="A114" s="39" t="s">
        <v>76</v>
      </c>
      <c r="B114" s="21"/>
      <c r="C114" s="44">
        <v>3.7</v>
      </c>
      <c r="D114" s="44">
        <v>50</v>
      </c>
      <c r="E114" s="91">
        <f ca="1">AA173</f>
        <v>0</v>
      </c>
      <c r="F114" s="41"/>
      <c r="G114" s="40">
        <f ca="1">AA174</f>
        <v>216.53749999999999</v>
      </c>
      <c r="H114" s="65">
        <f ca="1">AA175</f>
        <v>17323</v>
      </c>
      <c r="I114" s="11"/>
      <c r="J114" s="1"/>
      <c r="K114" s="6" t="s">
        <v>71</v>
      </c>
      <c r="L114" s="1"/>
      <c r="AA114" s="2">
        <f>131/65</f>
        <v>2.0153846153846153</v>
      </c>
    </row>
    <row r="115" spans="1:27" ht="15.75" x14ac:dyDescent="0.25">
      <c r="A115" s="25"/>
      <c r="B115" s="21"/>
      <c r="C115" s="54"/>
      <c r="D115" s="21"/>
      <c r="E115" s="92"/>
      <c r="F115" s="41"/>
      <c r="G115" s="58" t="s">
        <v>39</v>
      </c>
      <c r="H115" s="59" t="s">
        <v>39</v>
      </c>
      <c r="I115" s="11"/>
      <c r="J115" s="1"/>
      <c r="K115" s="6" t="s">
        <v>75</v>
      </c>
      <c r="L115" s="1"/>
      <c r="AA115" s="2">
        <f>F81*E81</f>
        <v>353</v>
      </c>
    </row>
    <row r="116" spans="1:27" ht="15.75" x14ac:dyDescent="0.25">
      <c r="A116" s="39" t="s">
        <v>79</v>
      </c>
      <c r="B116" s="21"/>
      <c r="C116" s="54"/>
      <c r="D116" s="21"/>
      <c r="E116" s="92"/>
      <c r="F116" s="54"/>
      <c r="G116" s="40">
        <f ca="1">AA176</f>
        <v>11921.3025</v>
      </c>
      <c r="H116" s="65">
        <f ca="1">AA177</f>
        <v>953704.2</v>
      </c>
      <c r="I116" s="11"/>
      <c r="J116" s="11"/>
      <c r="K116" s="6" t="s">
        <v>77</v>
      </c>
      <c r="L116" s="1"/>
      <c r="AA116" s="2">
        <f>G81*D4</f>
        <v>28240</v>
      </c>
    </row>
    <row r="117" spans="1:27" ht="15.75" x14ac:dyDescent="0.25">
      <c r="A117" s="39"/>
      <c r="B117" s="21"/>
      <c r="C117" s="54"/>
      <c r="D117" s="21"/>
      <c r="E117" s="92"/>
      <c r="F117" s="41"/>
      <c r="G117" s="54"/>
      <c r="H117" s="89"/>
      <c r="I117" s="11"/>
      <c r="J117" s="11"/>
      <c r="K117" s="6" t="s">
        <v>78</v>
      </c>
      <c r="L117" s="1"/>
      <c r="AA117" s="2">
        <f>F82*E82</f>
        <v>0</v>
      </c>
    </row>
    <row r="118" spans="1:27" ht="15.75" x14ac:dyDescent="0.25">
      <c r="A118" s="25"/>
      <c r="B118" s="21"/>
      <c r="C118" s="54"/>
      <c r="D118" s="58" t="s">
        <v>62</v>
      </c>
      <c r="E118" s="90" t="s">
        <v>63</v>
      </c>
      <c r="F118" s="41"/>
      <c r="G118" s="54"/>
      <c r="H118" s="89"/>
      <c r="I118" s="11"/>
      <c r="J118" s="11"/>
      <c r="K118" s="1"/>
      <c r="L118" s="1"/>
      <c r="AA118" s="2">
        <f>G82*D4</f>
        <v>0</v>
      </c>
    </row>
    <row r="119" spans="1:27" ht="15.75" x14ac:dyDescent="0.25">
      <c r="A119" s="39" t="s">
        <v>41</v>
      </c>
      <c r="B119" s="21"/>
      <c r="C119" s="21"/>
      <c r="D119" s="58" t="s">
        <v>64</v>
      </c>
      <c r="E119" s="90" t="s">
        <v>65</v>
      </c>
      <c r="F119" s="21"/>
      <c r="G119" s="58" t="s">
        <v>17</v>
      </c>
      <c r="H119" s="59" t="s">
        <v>18</v>
      </c>
      <c r="I119" s="11"/>
      <c r="J119" s="11"/>
      <c r="K119" s="1"/>
      <c r="L119" s="1"/>
      <c r="AA119" s="2">
        <f>115/42</f>
        <v>2.7380952380952381</v>
      </c>
    </row>
    <row r="120" spans="1:27" ht="15.75" x14ac:dyDescent="0.25">
      <c r="A120" s="39" t="s">
        <v>129</v>
      </c>
      <c r="B120" s="21"/>
      <c r="C120" s="21"/>
      <c r="D120" s="44">
        <v>370</v>
      </c>
      <c r="E120" s="91">
        <f ca="1">AA179</f>
        <v>0</v>
      </c>
      <c r="F120" s="41"/>
      <c r="G120" s="40">
        <f ca="1">AA180</f>
        <v>370</v>
      </c>
      <c r="H120" s="65">
        <f ca="1">AA181</f>
        <v>29600</v>
      </c>
      <c r="I120" s="11"/>
      <c r="J120" s="5">
        <f ca="1">AA178</f>
        <v>17323</v>
      </c>
      <c r="K120" s="6" t="s">
        <v>80</v>
      </c>
      <c r="L120" s="1"/>
      <c r="AA120" s="2">
        <f>F84*E84</f>
        <v>267</v>
      </c>
    </row>
    <row r="121" spans="1:27" ht="15.75" x14ac:dyDescent="0.25">
      <c r="A121" s="39" t="s">
        <v>128</v>
      </c>
      <c r="B121" s="21"/>
      <c r="C121" s="21"/>
      <c r="D121" s="44">
        <v>86</v>
      </c>
      <c r="E121" s="91">
        <f ca="1">AA182</f>
        <v>0</v>
      </c>
      <c r="F121" s="21"/>
      <c r="G121" s="40">
        <f ca="1">AA183</f>
        <v>86</v>
      </c>
      <c r="H121" s="65">
        <f ca="1">AA184</f>
        <v>6880</v>
      </c>
      <c r="I121" s="11"/>
      <c r="J121" s="11"/>
      <c r="K121" s="11"/>
      <c r="L121" s="1"/>
      <c r="AA121" s="2">
        <f>G84*D4</f>
        <v>21360</v>
      </c>
    </row>
    <row r="122" spans="1:27" ht="15.75" x14ac:dyDescent="0.25">
      <c r="A122" s="39" t="s">
        <v>173</v>
      </c>
      <c r="B122" s="21"/>
      <c r="C122" s="21"/>
      <c r="D122" s="44">
        <v>0</v>
      </c>
      <c r="E122" s="91">
        <f ca="1">AA185</f>
        <v>0</v>
      </c>
      <c r="F122" s="41"/>
      <c r="G122" s="40">
        <f ca="1">AA186</f>
        <v>0</v>
      </c>
      <c r="H122" s="65">
        <f ca="1">AA187</f>
        <v>0</v>
      </c>
      <c r="I122" s="11"/>
      <c r="J122" s="11"/>
      <c r="K122" s="11"/>
      <c r="L122" s="1"/>
      <c r="AA122" s="2">
        <f>F85*E85</f>
        <v>0</v>
      </c>
    </row>
    <row r="123" spans="1:27" ht="15.75" x14ac:dyDescent="0.25">
      <c r="A123" s="39" t="s">
        <v>170</v>
      </c>
      <c r="B123" s="21"/>
      <c r="C123" s="54"/>
      <c r="D123" s="44">
        <v>160</v>
      </c>
      <c r="E123" s="94"/>
      <c r="F123" s="94"/>
      <c r="G123" s="40">
        <f>AA147</f>
        <v>160</v>
      </c>
      <c r="H123" s="65">
        <f>AA148</f>
        <v>12800</v>
      </c>
      <c r="I123" s="1"/>
      <c r="J123" s="1"/>
      <c r="K123" s="1"/>
      <c r="L123" s="1"/>
      <c r="AA123" s="2">
        <f>G85*D4</f>
        <v>0</v>
      </c>
    </row>
    <row r="124" spans="1:27" ht="15.75" x14ac:dyDescent="0.25">
      <c r="A124" s="39" t="s">
        <v>81</v>
      </c>
      <c r="B124" s="21"/>
      <c r="C124" s="21"/>
      <c r="D124" s="44">
        <v>940</v>
      </c>
      <c r="E124" s="91">
        <f ca="1">AA188</f>
        <v>0</v>
      </c>
      <c r="F124" s="41"/>
      <c r="G124" s="40">
        <f ca="1">AA189</f>
        <v>940</v>
      </c>
      <c r="H124" s="65">
        <f ca="1">AA190</f>
        <v>75200</v>
      </c>
      <c r="I124" s="11"/>
      <c r="J124" s="1"/>
      <c r="K124" s="1"/>
      <c r="L124" s="1"/>
      <c r="AA124" s="2">
        <f>12/3</f>
        <v>4</v>
      </c>
    </row>
    <row r="125" spans="1:27" ht="15.75" x14ac:dyDescent="0.25">
      <c r="A125" s="39"/>
      <c r="B125" s="21"/>
      <c r="C125" s="21"/>
      <c r="D125" s="95"/>
      <c r="E125" s="91"/>
      <c r="F125" s="41"/>
      <c r="G125" s="40"/>
      <c r="H125" s="65"/>
      <c r="I125" s="11"/>
      <c r="J125" s="1"/>
      <c r="K125" s="1"/>
      <c r="L125" s="1"/>
      <c r="AA125" s="2">
        <f>F87*E87</f>
        <v>40</v>
      </c>
    </row>
    <row r="126" spans="1:27" ht="15.75" x14ac:dyDescent="0.25">
      <c r="A126" s="39" t="s">
        <v>140</v>
      </c>
      <c r="B126" s="21"/>
      <c r="C126" s="21"/>
      <c r="D126" s="21"/>
      <c r="E126" s="21"/>
      <c r="F126" s="44">
        <v>0</v>
      </c>
      <c r="G126" s="40">
        <f>AA97</f>
        <v>0</v>
      </c>
      <c r="H126" s="65">
        <f>AA98</f>
        <v>0</v>
      </c>
      <c r="I126" s="11"/>
      <c r="J126" s="1"/>
      <c r="K126" s="6" t="s">
        <v>82</v>
      </c>
      <c r="L126" s="1"/>
      <c r="AA126" s="2">
        <f>G87*D4</f>
        <v>3200</v>
      </c>
    </row>
    <row r="127" spans="1:27" ht="15.75" x14ac:dyDescent="0.25">
      <c r="A127" s="39" t="str">
        <f>AA99</f>
        <v xml:space="preserve"> -OR- Amortized over 40 years (Leave Dir. Entry at 0)</v>
      </c>
      <c r="B127" s="21"/>
      <c r="C127" s="21"/>
      <c r="D127" s="21"/>
      <c r="E127" s="21"/>
      <c r="F127" s="41"/>
      <c r="G127" s="22">
        <v>9.2950000000000005E-2</v>
      </c>
      <c r="H127" s="59" t="s">
        <v>49</v>
      </c>
      <c r="I127" s="11"/>
      <c r="J127" s="1"/>
      <c r="K127" s="6" t="s">
        <v>84</v>
      </c>
      <c r="L127" s="1"/>
      <c r="AA127" s="2">
        <f>F88*E88</f>
        <v>0</v>
      </c>
    </row>
    <row r="128" spans="1:27" ht="15.75" x14ac:dyDescent="0.25">
      <c r="A128" s="25"/>
      <c r="B128" s="21"/>
      <c r="C128" s="21"/>
      <c r="D128" s="21"/>
      <c r="E128" s="21"/>
      <c r="F128" s="41"/>
      <c r="G128" s="23" t="s">
        <v>39</v>
      </c>
      <c r="H128" s="96" t="s">
        <v>39</v>
      </c>
      <c r="I128" s="11"/>
      <c r="J128" s="1"/>
      <c r="K128" s="6" t="s">
        <v>85</v>
      </c>
      <c r="L128" s="1"/>
      <c r="AA128" s="2">
        <f>G88*D4</f>
        <v>0</v>
      </c>
    </row>
    <row r="129" spans="1:27" ht="15.75" x14ac:dyDescent="0.25">
      <c r="A129" s="77" t="s">
        <v>83</v>
      </c>
      <c r="B129" s="78"/>
      <c r="C129" s="78"/>
      <c r="D129" s="78"/>
      <c r="E129" s="78"/>
      <c r="F129" s="79"/>
      <c r="G129" s="80">
        <f ca="1">AA191</f>
        <v>1556</v>
      </c>
      <c r="H129" s="81">
        <f ca="1">AA192</f>
        <v>124480</v>
      </c>
      <c r="I129" s="11"/>
      <c r="J129" s="11"/>
      <c r="K129" s="6" t="s">
        <v>87</v>
      </c>
      <c r="L129" s="1"/>
      <c r="AA129" s="2" t="e">
        <f>#REF!*#REF!</f>
        <v>#REF!</v>
      </c>
    </row>
    <row r="130" spans="1:27" ht="15.75" x14ac:dyDescent="0.25">
      <c r="A130" s="31"/>
      <c r="B130" s="31"/>
      <c r="C130" s="31"/>
      <c r="D130" s="31"/>
      <c r="E130" s="31"/>
      <c r="F130" s="31"/>
      <c r="G130" s="31"/>
      <c r="H130" s="31"/>
      <c r="I130" s="11"/>
      <c r="J130" s="11"/>
      <c r="K130" s="11"/>
      <c r="L130" s="1"/>
      <c r="AA130" s="2" t="e">
        <f>#REF!*D4</f>
        <v>#REF!</v>
      </c>
    </row>
    <row r="131" spans="1:27" ht="15.75" x14ac:dyDescent="0.25">
      <c r="A131" s="16" t="s">
        <v>86</v>
      </c>
      <c r="B131" s="21"/>
      <c r="C131" s="21"/>
      <c r="D131" s="21"/>
      <c r="E131" s="58" t="s">
        <v>17</v>
      </c>
      <c r="F131" s="58" t="s">
        <v>18</v>
      </c>
      <c r="G131" s="97"/>
      <c r="H131" s="98"/>
      <c r="I131" s="1"/>
      <c r="J131" s="1"/>
      <c r="K131" s="1"/>
      <c r="L131" s="1"/>
      <c r="AA131" s="2" t="e">
        <f>#REF!*#REF!</f>
        <v>#REF!</v>
      </c>
    </row>
    <row r="132" spans="1:27" ht="15.75" x14ac:dyDescent="0.25">
      <c r="A132" s="39" t="s">
        <v>88</v>
      </c>
      <c r="B132" s="21"/>
      <c r="C132" s="21"/>
      <c r="D132" s="21"/>
      <c r="E132" s="130">
        <f>AA193</f>
        <v>35800</v>
      </c>
      <c r="F132" s="130">
        <f>AA194</f>
        <v>2864000</v>
      </c>
      <c r="G132" s="99"/>
      <c r="H132" s="89"/>
      <c r="I132" s="11"/>
      <c r="J132" s="11"/>
      <c r="K132" s="11"/>
      <c r="L132" s="1"/>
      <c r="AA132" s="2" t="e">
        <f>#REF!*D4</f>
        <v>#REF!</v>
      </c>
    </row>
    <row r="133" spans="1:27" ht="15.75" x14ac:dyDescent="0.25">
      <c r="A133" s="39" t="s">
        <v>89</v>
      </c>
      <c r="B133" s="21"/>
      <c r="C133" s="21"/>
      <c r="D133" s="21"/>
      <c r="E133" s="130">
        <f>AA195</f>
        <v>29.010616683186374</v>
      </c>
      <c r="F133" s="130">
        <f>AA196</f>
        <v>2320.8493346549099</v>
      </c>
      <c r="G133" s="41"/>
      <c r="H133" s="89"/>
      <c r="I133" s="11"/>
      <c r="J133" s="11"/>
      <c r="K133" s="11"/>
      <c r="L133" s="1"/>
      <c r="AA133" s="2">
        <f>F92*E92</f>
        <v>0</v>
      </c>
    </row>
    <row r="134" spans="1:27" ht="15.75" x14ac:dyDescent="0.25">
      <c r="A134" s="39" t="s">
        <v>90</v>
      </c>
      <c r="B134" s="21"/>
      <c r="C134" s="21"/>
      <c r="D134" s="21"/>
      <c r="E134" s="130">
        <f ca="1">AA197</f>
        <v>11921.3025</v>
      </c>
      <c r="F134" s="130">
        <f ca="1">AA198</f>
        <v>953704.2</v>
      </c>
      <c r="G134" s="21"/>
      <c r="H134" s="89"/>
      <c r="I134" s="11"/>
      <c r="J134" s="11"/>
      <c r="K134" s="11"/>
      <c r="L134" s="1"/>
      <c r="AA134" s="2">
        <f>G92*D4</f>
        <v>0</v>
      </c>
    </row>
    <row r="135" spans="1:27" ht="15.75" x14ac:dyDescent="0.25">
      <c r="A135" s="25"/>
      <c r="B135" s="21"/>
      <c r="C135" s="21"/>
      <c r="D135" s="21"/>
      <c r="E135" s="130" t="s">
        <v>39</v>
      </c>
      <c r="F135" s="130" t="s">
        <v>39</v>
      </c>
      <c r="G135" s="21"/>
      <c r="H135" s="34"/>
      <c r="I135" s="11"/>
      <c r="J135" s="11"/>
      <c r="K135" s="11"/>
      <c r="L135" s="1"/>
      <c r="AA135" s="2">
        <f>F93*E93</f>
        <v>0</v>
      </c>
    </row>
    <row r="136" spans="1:27" ht="15.75" x14ac:dyDescent="0.25">
      <c r="A136" s="39" t="s">
        <v>91</v>
      </c>
      <c r="B136" s="21"/>
      <c r="C136" s="21"/>
      <c r="D136" s="21"/>
      <c r="E136" s="130">
        <f ca="1">AA199</f>
        <v>23907.708116683185</v>
      </c>
      <c r="F136" s="130">
        <f ca="1">AA200</f>
        <v>1912616.6493346549</v>
      </c>
      <c r="G136" s="54"/>
      <c r="H136" s="50"/>
      <c r="I136" s="11"/>
      <c r="J136" s="11"/>
      <c r="K136" s="11"/>
      <c r="L136" s="1"/>
      <c r="AA136" s="2">
        <f>G93*D4</f>
        <v>0</v>
      </c>
    </row>
    <row r="137" spans="1:27" ht="15.75" x14ac:dyDescent="0.25">
      <c r="A137" s="39" t="s">
        <v>92</v>
      </c>
      <c r="B137" s="21"/>
      <c r="C137" s="21"/>
      <c r="D137" s="21"/>
      <c r="E137" s="130">
        <f ca="1">AA201</f>
        <v>1556</v>
      </c>
      <c r="F137" s="130">
        <f ca="1">AA202</f>
        <v>124480</v>
      </c>
      <c r="G137" s="54"/>
      <c r="H137" s="50"/>
      <c r="I137" s="1"/>
      <c r="J137" s="1"/>
      <c r="K137" s="1"/>
      <c r="L137" s="1"/>
      <c r="AA137" s="2">
        <f>F94*E94</f>
        <v>40</v>
      </c>
    </row>
    <row r="138" spans="1:27" ht="15.75" x14ac:dyDescent="0.25">
      <c r="A138" s="25"/>
      <c r="B138" s="21"/>
      <c r="C138" s="54"/>
      <c r="D138" s="21"/>
      <c r="E138" s="130" t="s">
        <v>39</v>
      </c>
      <c r="F138" s="130" t="s">
        <v>39</v>
      </c>
      <c r="G138" s="54"/>
      <c r="H138" s="50"/>
      <c r="I138" s="1"/>
      <c r="J138" s="1"/>
      <c r="K138" s="1"/>
      <c r="L138" s="1"/>
      <c r="AA138" s="2">
        <f>G94*D4</f>
        <v>3200</v>
      </c>
    </row>
    <row r="139" spans="1:27" ht="15.75" x14ac:dyDescent="0.25">
      <c r="A139" s="39" t="s">
        <v>93</v>
      </c>
      <c r="B139" s="21"/>
      <c r="C139" s="54"/>
      <c r="D139" s="21"/>
      <c r="E139" s="130">
        <f ca="1">AA203</f>
        <v>22351.708116683185</v>
      </c>
      <c r="F139" s="130">
        <f ca="1">AA204</f>
        <v>1788136.6493346549</v>
      </c>
      <c r="G139" s="54"/>
      <c r="H139" s="50"/>
      <c r="I139" s="1"/>
      <c r="J139" s="1"/>
      <c r="K139" s="1"/>
      <c r="L139" s="1"/>
      <c r="AA139" s="2">
        <f>IF(UPPER(LEFT(D18,1))="Y",1,0)</f>
        <v>1</v>
      </c>
    </row>
    <row r="140" spans="1:27" ht="15.75" x14ac:dyDescent="0.25">
      <c r="A140" s="25"/>
      <c r="B140" s="21"/>
      <c r="C140" s="54"/>
      <c r="D140" s="21"/>
      <c r="E140" s="21"/>
      <c r="F140" s="41"/>
      <c r="G140" s="54"/>
      <c r="H140" s="50"/>
      <c r="I140" s="1" t="s">
        <v>136</v>
      </c>
      <c r="J140" s="1"/>
      <c r="K140" s="1"/>
      <c r="L140" s="1"/>
      <c r="AA140" s="12">
        <f>D12</f>
        <v>337</v>
      </c>
    </row>
    <row r="141" spans="1:27" ht="15.75" x14ac:dyDescent="0.25">
      <c r="A141" s="39" t="s">
        <v>169</v>
      </c>
      <c r="B141" s="21"/>
      <c r="C141" s="54"/>
      <c r="D141" s="21"/>
      <c r="E141" s="23" t="s">
        <v>94</v>
      </c>
      <c r="F141" s="21"/>
      <c r="G141" s="48">
        <f ca="1">AA205</f>
        <v>476.85210000000001</v>
      </c>
      <c r="H141" s="89"/>
      <c r="I141" s="1" t="s">
        <v>137</v>
      </c>
      <c r="J141" s="1"/>
      <c r="K141" s="1"/>
      <c r="L141" s="1"/>
      <c r="AA141" s="2">
        <f>F95*E95</f>
        <v>1531</v>
      </c>
    </row>
    <row r="142" spans="1:27" ht="15.75" hidden="1" x14ac:dyDescent="0.25">
      <c r="A142" s="25"/>
      <c r="B142" s="21"/>
      <c r="C142" s="54"/>
      <c r="D142" s="21"/>
      <c r="E142" s="23" t="s">
        <v>95</v>
      </c>
      <c r="F142" s="41"/>
      <c r="G142" s="48">
        <f ca="1">AA206</f>
        <v>62.24</v>
      </c>
      <c r="H142" s="50"/>
      <c r="I142" s="1" t="s">
        <v>138</v>
      </c>
      <c r="J142" s="1"/>
      <c r="K142" s="1"/>
      <c r="L142" s="1"/>
      <c r="AA142" s="2">
        <f>G95*D4</f>
        <v>122480</v>
      </c>
    </row>
    <row r="143" spans="1:27" ht="15.75" hidden="1" x14ac:dyDescent="0.25">
      <c r="A143" s="25"/>
      <c r="B143" s="21"/>
      <c r="C143" s="21"/>
      <c r="D143" s="21"/>
      <c r="E143" s="41"/>
      <c r="F143" s="41"/>
      <c r="G143" s="58" t="s">
        <v>39</v>
      </c>
      <c r="H143" s="50"/>
      <c r="I143" s="1"/>
      <c r="J143" s="1"/>
      <c r="K143" s="1"/>
      <c r="L143" s="1"/>
      <c r="AA143" s="2">
        <f>F96*E96</f>
        <v>150</v>
      </c>
    </row>
    <row r="144" spans="1:27" ht="15.75" hidden="1" x14ac:dyDescent="0.25">
      <c r="A144" s="100"/>
      <c r="B144" s="21"/>
      <c r="C144" s="21"/>
      <c r="D144" s="21"/>
      <c r="E144" s="23" t="s">
        <v>96</v>
      </c>
      <c r="F144" s="41"/>
      <c r="G144" s="48">
        <f ca="1">AA207</f>
        <v>539.09209999999996</v>
      </c>
      <c r="H144" s="50"/>
      <c r="I144" s="1"/>
      <c r="J144" s="1"/>
      <c r="K144" s="1"/>
      <c r="L144" s="1"/>
      <c r="AA144" s="2">
        <f>G96*D4</f>
        <v>12000</v>
      </c>
    </row>
    <row r="145" spans="1:27" ht="15.75" hidden="1" x14ac:dyDescent="0.25">
      <c r="A145" s="31"/>
      <c r="B145" s="31"/>
      <c r="C145" s="31"/>
      <c r="D145" s="31"/>
      <c r="E145" s="31"/>
      <c r="F145" s="31"/>
      <c r="G145" s="31"/>
      <c r="H145" s="31"/>
      <c r="I145" s="11"/>
      <c r="J145" s="1"/>
      <c r="K145" s="1"/>
      <c r="L145" s="1"/>
      <c r="AA145" s="2">
        <f>F97*E97</f>
        <v>258</v>
      </c>
    </row>
    <row r="146" spans="1:27" ht="15.75" hidden="1" x14ac:dyDescent="0.25">
      <c r="A146" s="25"/>
      <c r="B146" s="21"/>
      <c r="C146" s="21"/>
      <c r="D146" s="21"/>
      <c r="E146" s="21"/>
      <c r="F146" s="21"/>
      <c r="G146" s="21"/>
      <c r="H146" s="34"/>
      <c r="I146" s="11"/>
      <c r="J146" s="1"/>
      <c r="K146" s="1"/>
      <c r="L146" s="1"/>
      <c r="AA146" s="2">
        <f>G97*D4</f>
        <v>20640</v>
      </c>
    </row>
    <row r="147" spans="1:27" ht="15.75" hidden="1" x14ac:dyDescent="0.25">
      <c r="A147" s="25"/>
      <c r="B147" s="21"/>
      <c r="C147" s="21"/>
      <c r="D147" s="21"/>
      <c r="E147" s="21"/>
      <c r="F147" s="21"/>
      <c r="G147" s="21"/>
      <c r="H147" s="34"/>
      <c r="I147" s="8">
        <f ca="1">AA208</f>
        <v>22351.708116683185</v>
      </c>
      <c r="J147" s="1"/>
      <c r="K147" s="1"/>
      <c r="L147" s="1"/>
      <c r="AA147" s="2">
        <f>D123</f>
        <v>160</v>
      </c>
    </row>
    <row r="148" spans="1:27" ht="15.75" hidden="1" x14ac:dyDescent="0.25">
      <c r="A148" s="25"/>
      <c r="B148" s="21"/>
      <c r="C148" s="21"/>
      <c r="D148" s="21"/>
      <c r="E148" s="21"/>
      <c r="F148" s="21"/>
      <c r="G148" s="21"/>
      <c r="H148" s="34"/>
      <c r="I148" s="8">
        <f>AA209</f>
        <v>6.717835</v>
      </c>
      <c r="J148" s="1"/>
      <c r="K148" s="1"/>
      <c r="L148" s="1"/>
      <c r="AA148" s="2">
        <f>G123*D4</f>
        <v>12800</v>
      </c>
    </row>
    <row r="149" spans="1:27" ht="15.75" x14ac:dyDescent="0.25">
      <c r="A149" s="25"/>
      <c r="B149" s="21"/>
      <c r="C149" s="21"/>
      <c r="D149" s="21"/>
      <c r="E149" s="21"/>
      <c r="F149" s="21"/>
      <c r="G149" s="21"/>
      <c r="H149" s="34"/>
      <c r="I149" s="8">
        <f>AA210</f>
        <v>142.5</v>
      </c>
      <c r="J149" s="1"/>
      <c r="K149" s="1"/>
      <c r="L149" s="1"/>
      <c r="AA149" s="2">
        <f>200/25</f>
        <v>8</v>
      </c>
    </row>
    <row r="150" spans="1:27" ht="15.75" x14ac:dyDescent="0.25">
      <c r="A150" s="25"/>
      <c r="B150" s="21"/>
      <c r="C150" s="21"/>
      <c r="D150" s="21"/>
      <c r="E150" s="21"/>
      <c r="F150" s="21"/>
      <c r="G150" s="21"/>
      <c r="H150" s="34"/>
      <c r="I150" s="8">
        <f>AA211</f>
        <v>10302.963333841077</v>
      </c>
      <c r="J150" s="11"/>
      <c r="K150" s="1"/>
      <c r="L150" s="1"/>
      <c r="AA150" s="2">
        <f>F101*E101</f>
        <v>4375</v>
      </c>
    </row>
    <row r="151" spans="1:27" ht="15.75" x14ac:dyDescent="0.25">
      <c r="A151" s="25"/>
      <c r="B151" s="21"/>
      <c r="C151" s="21"/>
      <c r="D151" s="21"/>
      <c r="E151" s="21"/>
      <c r="F151" s="21"/>
      <c r="G151" s="21"/>
      <c r="H151" s="34"/>
      <c r="I151" s="11"/>
      <c r="J151" s="11"/>
      <c r="K151" s="1"/>
      <c r="L151" s="1"/>
      <c r="AA151" s="2">
        <f>G101*D4</f>
        <v>350000</v>
      </c>
    </row>
    <row r="152" spans="1:27" ht="15.75" x14ac:dyDescent="0.25">
      <c r="A152" s="25"/>
      <c r="B152" s="21"/>
      <c r="C152" s="21"/>
      <c r="D152" s="21"/>
      <c r="E152" s="21"/>
      <c r="F152" s="21"/>
      <c r="G152" s="21"/>
      <c r="H152" s="34"/>
      <c r="I152" s="8">
        <f ca="1">AA213</f>
        <v>2.1694445949610288</v>
      </c>
      <c r="J152" s="8">
        <f ca="1">AA214</f>
        <v>2.1694445949610288</v>
      </c>
      <c r="K152" s="1"/>
      <c r="L152" s="1"/>
      <c r="AA152" s="2">
        <f>F102*E102</f>
        <v>0</v>
      </c>
    </row>
    <row r="153" spans="1:27" ht="15.75" x14ac:dyDescent="0.25">
      <c r="A153" s="25"/>
      <c r="B153" s="21"/>
      <c r="C153" s="21"/>
      <c r="D153" s="21"/>
      <c r="E153" s="21"/>
      <c r="F153" s="21"/>
      <c r="G153" s="21"/>
      <c r="H153" s="34"/>
      <c r="I153" s="8">
        <f ca="1">AA216</f>
        <v>0.66554222512563888</v>
      </c>
      <c r="J153" s="8">
        <f ca="1">AA217</f>
        <v>0.66554222512563888</v>
      </c>
      <c r="K153" s="1"/>
      <c r="L153" s="1"/>
      <c r="AA153" s="2">
        <f>G102*D4</f>
        <v>0</v>
      </c>
    </row>
    <row r="154" spans="1:27" ht="15.75" x14ac:dyDescent="0.25">
      <c r="A154" s="25"/>
      <c r="B154" s="23" t="s">
        <v>97</v>
      </c>
      <c r="C154" s="21"/>
      <c r="D154" s="21"/>
      <c r="E154" s="41"/>
      <c r="F154" s="41"/>
      <c r="G154" s="101">
        <f ca="1">AA212</f>
        <v>0.98497558050268685</v>
      </c>
      <c r="H154" s="50"/>
      <c r="I154" s="8">
        <f ca="1">AA219</f>
        <v>3.7923532207285657E-2</v>
      </c>
      <c r="J154" s="8">
        <f ca="1">AA220</f>
        <v>3.7923532207285657E-2</v>
      </c>
      <c r="K154" s="1"/>
      <c r="L154" s="1"/>
      <c r="AA154" s="2">
        <f>F103*E103</f>
        <v>0</v>
      </c>
    </row>
    <row r="155" spans="1:27" ht="15.75" x14ac:dyDescent="0.25">
      <c r="A155" s="25"/>
      <c r="B155" s="23" t="s">
        <v>98</v>
      </c>
      <c r="C155" s="21"/>
      <c r="D155" s="44">
        <v>0</v>
      </c>
      <c r="E155" s="23" t="s">
        <v>99</v>
      </c>
      <c r="F155" s="41"/>
      <c r="G155" s="101">
        <f ca="1">AA215</f>
        <v>0.98497558050268685</v>
      </c>
      <c r="H155" s="50"/>
      <c r="I155" s="8">
        <f ca="1">AA221</f>
        <v>1.5024419497313115E-2</v>
      </c>
      <c r="J155" s="8">
        <f ca="1">AA222</f>
        <v>1.5024419497313115E-2</v>
      </c>
      <c r="K155" s="1"/>
      <c r="L155" s="1"/>
      <c r="AA155" s="2">
        <f>G103*D4</f>
        <v>0</v>
      </c>
    </row>
    <row r="156" spans="1:27" ht="15.75" x14ac:dyDescent="0.25">
      <c r="A156" s="25"/>
      <c r="B156" s="23"/>
      <c r="C156" s="21"/>
      <c r="D156" s="102"/>
      <c r="E156" s="23"/>
      <c r="F156" s="41"/>
      <c r="G156" s="101"/>
      <c r="H156" s="50"/>
      <c r="I156" s="11"/>
      <c r="J156" s="1"/>
      <c r="K156" s="1"/>
      <c r="L156" s="1"/>
      <c r="AA156" s="2">
        <f>F104*E104</f>
        <v>0</v>
      </c>
    </row>
    <row r="157" spans="1:27" ht="15.75" x14ac:dyDescent="0.25">
      <c r="A157" s="25"/>
      <c r="B157" s="103"/>
      <c r="C157" s="104" t="s">
        <v>134</v>
      </c>
      <c r="D157" s="105" t="s">
        <v>135</v>
      </c>
      <c r="E157" s="21"/>
      <c r="F157" s="99"/>
      <c r="G157" s="48">
        <f>AA218</f>
        <v>0.28779227189500212</v>
      </c>
      <c r="H157" s="106" t="str">
        <f>IF(G157&lt;=0.2499,"Low Risk",IF(AND(G157&gt;0.2499,G157&lt;0.4),"Moderate Risk","High Risk"))</f>
        <v>Moderate Risk</v>
      </c>
      <c r="I157" s="1"/>
      <c r="J157" s="1"/>
      <c r="K157" s="1"/>
      <c r="L157" s="1"/>
      <c r="AA157" s="2">
        <f>G104*D4</f>
        <v>0</v>
      </c>
    </row>
    <row r="158" spans="1:27" ht="15.75" x14ac:dyDescent="0.25">
      <c r="A158" s="25"/>
      <c r="B158" s="21"/>
      <c r="C158" s="21"/>
      <c r="D158" s="21"/>
      <c r="E158" s="41"/>
      <c r="F158" s="41"/>
      <c r="G158" s="54"/>
      <c r="H158" s="107" t="s">
        <v>100</v>
      </c>
      <c r="I158" s="1"/>
      <c r="J158" s="1"/>
      <c r="K158" s="1"/>
      <c r="L158" s="1"/>
      <c r="AA158" s="2">
        <f ca="1">IF(K113=0,0,HLOOKUP(A2,INDIRECT(K22),2,FALSE)*INDIRECT(K113)*0.01)</f>
        <v>0</v>
      </c>
    </row>
    <row r="159" spans="1:27" ht="15.75" x14ac:dyDescent="0.25">
      <c r="A159" s="25"/>
      <c r="B159" s="21"/>
      <c r="C159" s="58" t="s">
        <v>101</v>
      </c>
      <c r="D159" s="108"/>
      <c r="E159" s="58" t="s">
        <v>102</v>
      </c>
      <c r="F159" s="48"/>
      <c r="G159" s="54"/>
      <c r="H159" s="107" t="s">
        <v>103</v>
      </c>
      <c r="I159" s="1"/>
      <c r="J159" s="1"/>
      <c r="K159" s="1"/>
      <c r="L159" s="1"/>
      <c r="AA159" s="2">
        <f ca="1">H107/D4</f>
        <v>590</v>
      </c>
    </row>
    <row r="160" spans="1:27" ht="15.75" x14ac:dyDescent="0.25">
      <c r="A160" s="25"/>
      <c r="B160" s="21"/>
      <c r="C160" s="40"/>
      <c r="D160" s="108"/>
      <c r="E160" s="58" t="s">
        <v>104</v>
      </c>
      <c r="F160" s="108"/>
      <c r="G160" s="22"/>
      <c r="H160" s="107" t="s">
        <v>105</v>
      </c>
      <c r="I160" s="1"/>
      <c r="J160" s="1"/>
      <c r="K160" s="1"/>
      <c r="L160" s="1"/>
      <c r="AA160" s="2">
        <f ca="1">IF(E107=0,D107*D4,IF(INDIRECT(K113)&gt;0,E107,D107*D4))</f>
        <v>47200</v>
      </c>
    </row>
    <row r="161" spans="1:27" ht="15.75" x14ac:dyDescent="0.25">
      <c r="A161" s="25"/>
      <c r="B161" s="21"/>
      <c r="C161" s="40"/>
      <c r="D161" s="108"/>
      <c r="E161" s="48"/>
      <c r="F161" s="48"/>
      <c r="G161" s="54"/>
      <c r="H161" s="107" t="s">
        <v>106</v>
      </c>
      <c r="I161" s="1"/>
      <c r="J161" s="1"/>
      <c r="K161" s="1"/>
      <c r="L161" s="1"/>
      <c r="AA161" s="2">
        <f ca="1">IF(K114=0,0,HLOOKUP(A2,INDIRECT(K22),3,FALSE)*INDIRECT(K114)*0.01)</f>
        <v>0</v>
      </c>
    </row>
    <row r="162" spans="1:27" ht="15.75" x14ac:dyDescent="0.25">
      <c r="A162" s="25"/>
      <c r="B162" s="21"/>
      <c r="C162" s="40">
        <f ca="1">AA223</f>
        <v>32345.582550509029</v>
      </c>
      <c r="D162" s="108"/>
      <c r="E162" s="58" t="s">
        <v>107</v>
      </c>
      <c r="F162" s="48"/>
      <c r="G162" s="54"/>
      <c r="H162" s="50"/>
      <c r="I162" s="1"/>
      <c r="J162" s="1"/>
      <c r="K162" s="1"/>
      <c r="L162" s="1"/>
      <c r="AA162" s="2">
        <f ca="1">H108/D4</f>
        <v>282</v>
      </c>
    </row>
    <row r="163" spans="1:27" ht="15.75" x14ac:dyDescent="0.25">
      <c r="A163" s="25"/>
      <c r="B163" s="54"/>
      <c r="C163" s="40">
        <f ca="1">AA224</f>
        <v>26781.982350234848</v>
      </c>
      <c r="D163" s="108"/>
      <c r="E163" s="58" t="s">
        <v>108</v>
      </c>
      <c r="F163" s="48"/>
      <c r="G163" s="54"/>
      <c r="H163" s="107" t="s">
        <v>109</v>
      </c>
      <c r="I163" s="1"/>
      <c r="J163" s="1"/>
      <c r="K163" s="1"/>
      <c r="L163" s="1"/>
      <c r="AA163" s="2">
        <f ca="1">IF(E108=0,D108*D4,IF(INDIRECT(K114)&gt;0,E108,D108*D4))</f>
        <v>22560</v>
      </c>
    </row>
    <row r="164" spans="1:27" ht="15.75" x14ac:dyDescent="0.25">
      <c r="A164" s="25"/>
      <c r="B164" s="54"/>
      <c r="C164" s="40">
        <f ca="1">AA225</f>
        <v>22351.708116683185</v>
      </c>
      <c r="D164" s="108"/>
      <c r="E164" s="58" t="s">
        <v>110</v>
      </c>
      <c r="F164" s="108"/>
      <c r="G164" s="22"/>
      <c r="H164" s="107" t="s">
        <v>111</v>
      </c>
      <c r="I164" s="1"/>
      <c r="J164" s="1"/>
      <c r="K164" s="1"/>
      <c r="L164" s="1"/>
      <c r="AA164" s="2">
        <f ca="1">IF(K115=0,0,HLOOKUP(A2,INDIRECT(K22),4,FALSE)*INDIRECT(K115)*0.01)</f>
        <v>0</v>
      </c>
    </row>
    <row r="165" spans="1:27" ht="15.75" x14ac:dyDescent="0.25">
      <c r="A165" s="25"/>
      <c r="B165" s="54"/>
      <c r="C165" s="40">
        <f ca="1">AA226</f>
        <v>17921.433883131522</v>
      </c>
      <c r="D165" s="108"/>
      <c r="E165" s="58" t="s">
        <v>112</v>
      </c>
      <c r="F165" s="108"/>
      <c r="G165" s="97"/>
      <c r="H165" s="107" t="s">
        <v>113</v>
      </c>
      <c r="I165" s="1"/>
      <c r="J165" s="1"/>
      <c r="K165" s="1"/>
      <c r="L165" s="1"/>
      <c r="AA165" s="2">
        <f ca="1">H109/D4</f>
        <v>0</v>
      </c>
    </row>
    <row r="166" spans="1:27" ht="15.75" x14ac:dyDescent="0.25">
      <c r="A166" s="25"/>
      <c r="B166" s="21"/>
      <c r="C166" s="40">
        <f ca="1">AA227</f>
        <v>12357.833682857341</v>
      </c>
      <c r="D166" s="108"/>
      <c r="E166" s="58" t="s">
        <v>114</v>
      </c>
      <c r="F166" s="108"/>
      <c r="G166" s="22"/>
      <c r="H166" s="107" t="s">
        <v>115</v>
      </c>
      <c r="I166" s="1"/>
      <c r="J166" s="1"/>
      <c r="K166" s="1"/>
      <c r="L166" s="1"/>
      <c r="AA166" s="2">
        <f ca="1">IF(E109=0,D109*D4,IF(INDIRECT(K115)&gt;0,E109,D109*D4))</f>
        <v>0</v>
      </c>
    </row>
    <row r="167" spans="1:27" ht="15.75" x14ac:dyDescent="0.25">
      <c r="A167" s="25"/>
      <c r="B167" s="21"/>
      <c r="C167" s="21"/>
      <c r="D167" s="21"/>
      <c r="E167" s="21"/>
      <c r="F167" s="21"/>
      <c r="G167" s="21"/>
      <c r="H167" s="107" t="s">
        <v>116</v>
      </c>
      <c r="I167" s="1"/>
      <c r="J167" s="1"/>
      <c r="K167" s="1"/>
      <c r="L167" s="1"/>
      <c r="AA167" s="2">
        <f ca="1">IF(K116=0,0,HLOOKUP(A2,INDIRECT(K22),5,FALSE)*INDIRECT(K116)*0.01)</f>
        <v>0</v>
      </c>
    </row>
    <row r="168" spans="1:27" ht="15.75" x14ac:dyDescent="0.25">
      <c r="A168" s="109"/>
      <c r="B168" s="110"/>
      <c r="C168" s="110"/>
      <c r="D168" s="110"/>
      <c r="E168" s="110"/>
      <c r="F168" s="110"/>
      <c r="G168" s="110"/>
      <c r="H168" s="111"/>
      <c r="I168" s="1"/>
      <c r="J168" s="1"/>
      <c r="K168" s="1"/>
      <c r="L168" s="1"/>
      <c r="AA168" s="2">
        <f ca="1">H110/D4</f>
        <v>0</v>
      </c>
    </row>
    <row r="169" spans="1:27" ht="15.75" x14ac:dyDescent="0.25">
      <c r="A169" s="112"/>
      <c r="B169" s="113"/>
      <c r="C169" s="113"/>
      <c r="D169" s="114" t="s">
        <v>131</v>
      </c>
      <c r="E169" s="113"/>
      <c r="F169" s="113"/>
      <c r="G169" s="113"/>
      <c r="H169" s="115"/>
      <c r="I169" s="1"/>
      <c r="J169" s="1"/>
      <c r="K169" s="1"/>
      <c r="L169" s="1"/>
      <c r="AA169" s="2">
        <f ca="1">IF(E110=0,D110*D4,IF(INDIRECT(K116)&gt;0,E110,D110*D4))</f>
        <v>0</v>
      </c>
    </row>
    <row r="170" spans="1:27" ht="15.75" x14ac:dyDescent="0.25">
      <c r="A170" s="116"/>
      <c r="B170" s="113"/>
      <c r="C170" s="113"/>
      <c r="D170" s="113"/>
      <c r="E170" s="113"/>
      <c r="F170" s="113"/>
      <c r="G170" s="113"/>
      <c r="H170" s="115"/>
      <c r="I170" s="1"/>
      <c r="J170" s="1"/>
      <c r="K170" s="1"/>
      <c r="L170" s="1"/>
      <c r="AA170" s="2">
        <f ca="1">IF(K117=0,0,HLOOKUP(A2,INDIRECT(K22),6,FALSE)*INDIRECT(K117)*0.01)</f>
        <v>0</v>
      </c>
    </row>
    <row r="171" spans="1:27" ht="15.75" x14ac:dyDescent="0.25">
      <c r="A171" s="117"/>
      <c r="B171" s="113"/>
      <c r="C171" s="113"/>
      <c r="D171" s="117" t="s">
        <v>132</v>
      </c>
      <c r="E171" s="118"/>
      <c r="F171" s="118"/>
      <c r="G171" s="113"/>
      <c r="H171" s="115"/>
      <c r="I171" s="1"/>
      <c r="J171" s="1"/>
      <c r="K171" s="1"/>
      <c r="L171" s="1"/>
      <c r="AA171" s="2">
        <f ca="1">H111/D4</f>
        <v>0</v>
      </c>
    </row>
    <row r="172" spans="1:27" ht="15.75" x14ac:dyDescent="0.25">
      <c r="A172" s="119"/>
      <c r="B172" s="113"/>
      <c r="C172" s="113"/>
      <c r="D172" s="117" t="s">
        <v>145</v>
      </c>
      <c r="E172" s="118"/>
      <c r="F172" s="118"/>
      <c r="G172" s="113"/>
      <c r="H172" s="115"/>
      <c r="I172" s="1"/>
      <c r="J172" s="1"/>
      <c r="K172" s="1"/>
      <c r="L172" s="1"/>
      <c r="AA172" s="2">
        <f ca="1">IF(E111=0,D111*D4,IF(INDIRECT(K117)&gt;0,E111,D111*D4))</f>
        <v>0</v>
      </c>
    </row>
    <row r="173" spans="1:27" ht="15.75" x14ac:dyDescent="0.25">
      <c r="A173" s="116"/>
      <c r="B173" s="113"/>
      <c r="C173" s="113"/>
      <c r="D173" s="120" t="s">
        <v>146</v>
      </c>
      <c r="E173" s="118"/>
      <c r="F173" s="118"/>
      <c r="G173" s="113"/>
      <c r="H173" s="115"/>
      <c r="I173" s="1"/>
      <c r="J173" s="1"/>
      <c r="K173" s="1"/>
      <c r="L173" s="1"/>
      <c r="AA173" s="2">
        <f ca="1">IF(K120=0,0,HLOOKUP(A2,INDIRECT(K22),7,FALSE)*INDIRECT(K120)*0.01)</f>
        <v>0</v>
      </c>
    </row>
    <row r="174" spans="1:27" ht="15.75" x14ac:dyDescent="0.25">
      <c r="A174" s="116"/>
      <c r="B174" s="113"/>
      <c r="C174" s="113"/>
      <c r="D174" s="121" t="s">
        <v>133</v>
      </c>
      <c r="E174" s="118"/>
      <c r="F174" s="118"/>
      <c r="G174" s="113"/>
      <c r="H174" s="115"/>
      <c r="I174" s="1"/>
      <c r="J174" s="1"/>
      <c r="K174" s="1"/>
      <c r="L174" s="1"/>
      <c r="AA174" s="2">
        <f ca="1">H114/D4</f>
        <v>216.53749999999999</v>
      </c>
    </row>
    <row r="175" spans="1:27" ht="15.75" x14ac:dyDescent="0.25">
      <c r="A175" s="122"/>
      <c r="B175" s="123"/>
      <c r="C175" s="123"/>
      <c r="D175" s="128" t="s">
        <v>179</v>
      </c>
      <c r="E175" s="124"/>
      <c r="F175" s="124"/>
      <c r="G175" s="125"/>
      <c r="H175" s="126"/>
      <c r="I175" s="1"/>
      <c r="J175" s="1"/>
      <c r="K175" s="1"/>
      <c r="L175" s="1"/>
      <c r="AA175" s="2">
        <f ca="1">IF(E114=0,J120,IF(INDIRECT(K120)&gt;0,E114,J120))</f>
        <v>17323</v>
      </c>
    </row>
    <row r="176" spans="1:27" x14ac:dyDescent="0.2">
      <c r="A176" s="15"/>
      <c r="B176" s="15"/>
      <c r="C176" s="15"/>
      <c r="D176" s="15"/>
      <c r="E176" s="15"/>
      <c r="F176" s="15"/>
      <c r="G176" s="15"/>
      <c r="H176" s="15"/>
      <c r="I176" s="1"/>
      <c r="J176" s="1"/>
      <c r="K176" s="1"/>
      <c r="L176" s="1"/>
      <c r="AA176" s="2">
        <f ca="1">H116/D4</f>
        <v>11921.3025</v>
      </c>
    </row>
    <row r="177" spans="1:27" x14ac:dyDescent="0.2">
      <c r="A177" s="15"/>
      <c r="B177" s="15"/>
      <c r="C177" s="15"/>
      <c r="D177" s="15"/>
      <c r="E177" s="15"/>
      <c r="F177" s="15"/>
      <c r="G177" s="15"/>
      <c r="H177" s="15"/>
      <c r="I177" s="1"/>
      <c r="J177" s="1"/>
      <c r="K177" s="1"/>
      <c r="L177" s="1"/>
      <c r="AA177" s="3">
        <f ca="1">SUM(H71:H114)</f>
        <v>953704.2</v>
      </c>
    </row>
    <row r="178" spans="1:27" x14ac:dyDescent="0.2">
      <c r="A178" s="15"/>
      <c r="B178" s="15"/>
      <c r="C178" s="15"/>
      <c r="D178" s="15"/>
      <c r="E178" s="15"/>
      <c r="F178" s="15"/>
      <c r="G178" s="15"/>
      <c r="H178" s="15"/>
      <c r="I178" s="1"/>
      <c r="J178" s="1"/>
      <c r="K178" s="1"/>
      <c r="L178" s="1"/>
      <c r="AA178" s="2">
        <f ca="1">ROUND(SUM(H72:H111)*C114*D114*0.0001,0)</f>
        <v>17323</v>
      </c>
    </row>
    <row r="179" spans="1:27" x14ac:dyDescent="0.2">
      <c r="A179" s="15"/>
      <c r="B179" s="15"/>
      <c r="C179" s="15"/>
      <c r="D179" s="15"/>
      <c r="E179" s="15"/>
      <c r="F179" s="15"/>
      <c r="G179" s="15"/>
      <c r="H179" s="15"/>
      <c r="I179" s="1"/>
      <c r="J179" s="1"/>
      <c r="K179" s="1"/>
      <c r="L179" s="1"/>
      <c r="AA179" s="2">
        <f ca="1">IF(K126=0,0,HLOOKUP(A2,INDIRECT(K22),9,FALSE)*INDIRECT(K126)*0.01)</f>
        <v>0</v>
      </c>
    </row>
    <row r="180" spans="1:27" x14ac:dyDescent="0.2">
      <c r="A180" s="15"/>
      <c r="B180" s="15"/>
      <c r="C180" s="15"/>
      <c r="D180" s="15"/>
      <c r="E180" s="15"/>
      <c r="F180" s="15"/>
      <c r="G180" s="15"/>
      <c r="H180" s="15"/>
      <c r="I180" s="1"/>
      <c r="J180" s="1"/>
      <c r="K180" s="1"/>
      <c r="L180" s="1"/>
      <c r="AA180" s="2">
        <f ca="1">H120/D4</f>
        <v>370</v>
      </c>
    </row>
    <row r="181" spans="1:27" x14ac:dyDescent="0.2">
      <c r="A181" s="15"/>
      <c r="B181" s="15"/>
      <c r="C181" s="15"/>
      <c r="D181" s="15"/>
      <c r="E181" s="15"/>
      <c r="F181" s="15"/>
      <c r="G181" s="15"/>
      <c r="H181" s="15"/>
      <c r="I181" s="1"/>
      <c r="J181" s="1"/>
      <c r="K181" s="1"/>
      <c r="L181" s="1"/>
      <c r="AA181" s="2">
        <f ca="1">IF(E120=0,D120*D4,IF(INDIRECT(K126)&gt;0,E120,D120*D4))</f>
        <v>29600</v>
      </c>
    </row>
    <row r="182" spans="1:27" x14ac:dyDescent="0.2">
      <c r="A182" s="15"/>
      <c r="B182" s="15"/>
      <c r="C182" s="15"/>
      <c r="D182" s="15"/>
      <c r="E182" s="15"/>
      <c r="F182" s="15"/>
      <c r="G182" s="15"/>
      <c r="H182" s="15"/>
      <c r="I182" s="1"/>
      <c r="J182" s="1"/>
      <c r="K182" s="1"/>
      <c r="L182" s="1"/>
      <c r="AA182" s="2">
        <f ca="1">IF(K127=0,0,HLOOKUP(A2,INDIRECT(K22),10,FALSE)*INDIRECT(K127)*0.01)</f>
        <v>0</v>
      </c>
    </row>
    <row r="183" spans="1:27" x14ac:dyDescent="0.2">
      <c r="A183" s="15"/>
      <c r="B183" s="15"/>
      <c r="C183" s="15"/>
      <c r="D183" s="15"/>
      <c r="E183" s="15"/>
      <c r="F183" s="15"/>
      <c r="G183" s="15"/>
      <c r="H183" s="15"/>
      <c r="I183" s="1"/>
      <c r="J183" s="1"/>
      <c r="K183" s="1"/>
      <c r="L183" s="1"/>
      <c r="AA183" s="2">
        <f ca="1">H121/D4</f>
        <v>86</v>
      </c>
    </row>
    <row r="184" spans="1:27" x14ac:dyDescent="0.2">
      <c r="A184" s="15"/>
      <c r="B184" s="15"/>
      <c r="C184" s="15"/>
      <c r="D184" s="15"/>
      <c r="E184" s="15"/>
      <c r="F184" s="15"/>
      <c r="G184" s="15"/>
      <c r="H184" s="15"/>
      <c r="I184" s="1"/>
      <c r="J184" s="1"/>
      <c r="K184" s="1"/>
      <c r="L184" s="1"/>
      <c r="AA184" s="2">
        <f ca="1">IF(E121=0,D121*D4,IF(INDIRECT(K127)&gt;0,E121,D121*D4))</f>
        <v>6880</v>
      </c>
    </row>
    <row r="185" spans="1:27" x14ac:dyDescent="0.2">
      <c r="A185" s="15"/>
      <c r="B185" s="15"/>
      <c r="C185" s="15"/>
      <c r="D185" s="15"/>
      <c r="E185" s="15"/>
      <c r="F185" s="15"/>
      <c r="G185" s="15"/>
      <c r="H185" s="15"/>
      <c r="I185" s="1"/>
      <c r="J185" s="1"/>
      <c r="K185" s="1"/>
      <c r="L185" s="1"/>
      <c r="AA185" s="2">
        <f ca="1">IF(K128=0,0,HLOOKUP(A2,INDIRECT(K22),11,FALSE)*INDIRECT(K128)*0.01)</f>
        <v>0</v>
      </c>
    </row>
    <row r="186" spans="1:27" x14ac:dyDescent="0.2">
      <c r="A186" s="15"/>
      <c r="B186" s="15"/>
      <c r="C186" s="15"/>
      <c r="D186" s="15"/>
      <c r="E186" s="15"/>
      <c r="F186" s="15"/>
      <c r="G186" s="15"/>
      <c r="H186" s="15"/>
      <c r="I186" s="1"/>
      <c r="J186" s="1"/>
      <c r="K186" s="1"/>
      <c r="L186" s="1"/>
      <c r="AA186" s="2">
        <f ca="1">H122/D4</f>
        <v>0</v>
      </c>
    </row>
    <row r="187" spans="1:27" x14ac:dyDescent="0.2">
      <c r="A187" s="15"/>
      <c r="B187" s="15"/>
      <c r="C187" s="15"/>
      <c r="D187" s="15"/>
      <c r="E187" s="15"/>
      <c r="F187" s="15"/>
      <c r="G187" s="15"/>
      <c r="H187" s="15"/>
      <c r="I187" s="1"/>
      <c r="J187" s="1"/>
      <c r="K187" s="1"/>
      <c r="L187" s="1"/>
      <c r="AA187" s="2">
        <f ca="1">IF(E122=0,D122*D4,IF(INDIRECT(K128)&gt;0,E122,D122*D4))</f>
        <v>0</v>
      </c>
    </row>
    <row r="188" spans="1:27" x14ac:dyDescent="0.2">
      <c r="A188" s="15"/>
      <c r="B188" s="15"/>
      <c r="C188" s="15"/>
      <c r="D188" s="15"/>
      <c r="E188" s="15"/>
      <c r="F188" s="15"/>
      <c r="G188" s="15"/>
      <c r="H188" s="15"/>
      <c r="I188" s="1"/>
      <c r="J188" s="1"/>
      <c r="K188" s="1"/>
      <c r="L188" s="1"/>
      <c r="AA188" s="2">
        <f ca="1">IF(K129=0,0,HLOOKUP(A2,INDIRECT(K22),12,FALSE)*INDIRECT(K129)*0.01)</f>
        <v>0</v>
      </c>
    </row>
    <row r="189" spans="1:27" x14ac:dyDescent="0.2">
      <c r="A189" s="15"/>
      <c r="B189" s="15"/>
      <c r="C189" s="15"/>
      <c r="D189" s="15"/>
      <c r="E189" s="15"/>
      <c r="F189" s="15"/>
      <c r="G189" s="15"/>
      <c r="H189" s="15"/>
      <c r="I189" s="1"/>
      <c r="J189" s="1"/>
      <c r="K189" s="1"/>
      <c r="L189" s="1"/>
      <c r="AA189" s="2">
        <f ca="1">H124/D4</f>
        <v>940</v>
      </c>
    </row>
    <row r="190" spans="1:27" x14ac:dyDescent="0.2">
      <c r="A190" s="15"/>
      <c r="B190" s="15"/>
      <c r="C190" s="15"/>
      <c r="D190" s="15"/>
      <c r="E190" s="15"/>
      <c r="F190" s="15"/>
      <c r="G190" s="15"/>
      <c r="H190" s="15"/>
      <c r="I190" s="1"/>
      <c r="J190" s="1"/>
      <c r="K190" s="1"/>
      <c r="L190" s="1"/>
      <c r="AA190" s="2">
        <f ca="1">IF(E124=0,D124*D4,IF(INDIRECT(K129)&gt;0,E124,D124*D4))</f>
        <v>75200</v>
      </c>
    </row>
    <row r="191" spans="1:27" x14ac:dyDescent="0.2">
      <c r="A191" s="15"/>
      <c r="B191" s="15"/>
      <c r="C191" s="15"/>
      <c r="D191" s="15"/>
      <c r="E191" s="15"/>
      <c r="F191" s="15"/>
      <c r="G191" s="15"/>
      <c r="H191" s="15"/>
      <c r="I191" s="1"/>
      <c r="J191" s="1"/>
      <c r="K191" s="1"/>
      <c r="L191" s="1"/>
      <c r="AA191" s="2">
        <f ca="1">H129/D4</f>
        <v>1556</v>
      </c>
    </row>
    <row r="192" spans="1:27" x14ac:dyDescent="0.2">
      <c r="A192" s="15"/>
      <c r="B192" s="15"/>
      <c r="C192" s="15"/>
      <c r="D192" s="15"/>
      <c r="E192" s="15"/>
      <c r="F192" s="15"/>
      <c r="G192" s="15"/>
      <c r="H192" s="15"/>
      <c r="I192" s="1"/>
      <c r="J192" s="1"/>
      <c r="K192" s="1"/>
      <c r="L192" s="1"/>
      <c r="AA192" s="3">
        <f ca="1">SUM(H120:H126)</f>
        <v>124480</v>
      </c>
    </row>
    <row r="193" spans="1:27" x14ac:dyDescent="0.2">
      <c r="A193" s="15"/>
      <c r="B193" s="15"/>
      <c r="C193" s="15"/>
      <c r="D193" s="15"/>
      <c r="E193" s="15"/>
      <c r="F193" s="15"/>
      <c r="G193" s="15"/>
      <c r="H193" s="15"/>
      <c r="I193" s="1"/>
      <c r="J193" s="1"/>
      <c r="K193" s="1"/>
      <c r="L193" s="1"/>
      <c r="AA193" s="2">
        <f>E7*E8</f>
        <v>35800</v>
      </c>
    </row>
    <row r="194" spans="1:27" x14ac:dyDescent="0.2">
      <c r="A194" s="15"/>
      <c r="B194" s="15"/>
      <c r="C194" s="15"/>
      <c r="D194" s="15"/>
      <c r="E194" s="15"/>
      <c r="F194" s="15"/>
      <c r="G194" s="15"/>
      <c r="H194" s="15"/>
      <c r="I194" s="1"/>
      <c r="J194" s="1"/>
      <c r="K194" s="1"/>
      <c r="L194" s="1"/>
      <c r="AA194" s="2">
        <f>E132*D4</f>
        <v>2864000</v>
      </c>
    </row>
    <row r="195" spans="1:27" x14ac:dyDescent="0.2">
      <c r="A195" s="15"/>
      <c r="B195" s="15"/>
      <c r="C195" s="15"/>
      <c r="D195" s="15"/>
      <c r="E195" s="15"/>
      <c r="F195" s="15"/>
      <c r="G195" s="15"/>
      <c r="H195" s="15"/>
      <c r="I195" s="1"/>
      <c r="J195" s="1"/>
      <c r="K195" s="1"/>
      <c r="L195" s="1"/>
      <c r="AA195" s="2">
        <f>IF(E95=1,D16,0)</f>
        <v>29.010616683186374</v>
      </c>
    </row>
    <row r="196" spans="1:27" x14ac:dyDescent="0.2">
      <c r="A196" s="15"/>
      <c r="B196" s="15"/>
      <c r="C196" s="15"/>
      <c r="D196" s="15"/>
      <c r="E196" s="15"/>
      <c r="F196" s="15"/>
      <c r="G196" s="15"/>
      <c r="H196" s="15"/>
      <c r="I196" s="1"/>
      <c r="J196" s="1"/>
      <c r="K196" s="1"/>
      <c r="L196" s="1"/>
      <c r="AA196" s="2">
        <f>E133*D4</f>
        <v>2320.8493346549099</v>
      </c>
    </row>
    <row r="197" spans="1:27" x14ac:dyDescent="0.2">
      <c r="A197" s="15"/>
      <c r="B197" s="15"/>
      <c r="C197" s="15"/>
      <c r="D197" s="15"/>
      <c r="E197" s="15"/>
      <c r="F197" s="15"/>
      <c r="G197" s="15"/>
      <c r="H197" s="15"/>
      <c r="I197" s="1"/>
      <c r="J197" s="1"/>
      <c r="K197" s="1"/>
      <c r="L197" s="1"/>
      <c r="AA197" s="2">
        <f ca="1">F134/D4</f>
        <v>11921.3025</v>
      </c>
    </row>
    <row r="198" spans="1:27" x14ac:dyDescent="0.2">
      <c r="A198" s="15"/>
      <c r="B198" s="15"/>
      <c r="C198" s="15"/>
      <c r="D198" s="15"/>
      <c r="E198" s="15"/>
      <c r="F198" s="15"/>
      <c r="G198" s="15"/>
      <c r="H198" s="15"/>
      <c r="I198" s="1"/>
      <c r="J198" s="1"/>
      <c r="K198" s="1"/>
      <c r="L198" s="1"/>
      <c r="AA198" s="3">
        <f ca="1">H116</f>
        <v>953704.2</v>
      </c>
    </row>
    <row r="199" spans="1:27" x14ac:dyDescent="0.2">
      <c r="A199" s="15"/>
      <c r="B199" s="15"/>
      <c r="C199" s="15"/>
      <c r="D199" s="15"/>
      <c r="E199" s="15"/>
      <c r="F199" s="15"/>
      <c r="G199" s="15"/>
      <c r="H199" s="15"/>
      <c r="I199" s="1"/>
      <c r="J199" s="1"/>
      <c r="K199" s="1"/>
      <c r="L199" s="1"/>
      <c r="AA199" s="2">
        <f ca="1">F136/D4</f>
        <v>23907.708116683185</v>
      </c>
    </row>
    <row r="200" spans="1:27" x14ac:dyDescent="0.2">
      <c r="A200" s="15"/>
      <c r="B200" s="15"/>
      <c r="C200" s="15"/>
      <c r="D200" s="15"/>
      <c r="E200" s="15"/>
      <c r="F200" s="15"/>
      <c r="G200" s="15"/>
      <c r="H200" s="15"/>
      <c r="I200" s="1"/>
      <c r="J200" s="1"/>
      <c r="K200" s="1"/>
      <c r="L200" s="1"/>
      <c r="AA200" s="3">
        <f ca="1">SUM(F132:F133)-F134</f>
        <v>1912616.6493346549</v>
      </c>
    </row>
    <row r="201" spans="1:27" x14ac:dyDescent="0.2">
      <c r="A201" s="15"/>
      <c r="B201" s="15"/>
      <c r="C201" s="15"/>
      <c r="D201" s="15"/>
      <c r="E201" s="15"/>
      <c r="F201" s="15"/>
      <c r="G201" s="15"/>
      <c r="H201" s="15"/>
      <c r="I201" s="1"/>
      <c r="J201" s="1"/>
      <c r="K201" s="1"/>
      <c r="L201" s="1"/>
      <c r="AA201" s="2">
        <f ca="1">F137/D4</f>
        <v>1556</v>
      </c>
    </row>
    <row r="202" spans="1:27" x14ac:dyDescent="0.2">
      <c r="A202" s="15"/>
      <c r="B202" s="15"/>
      <c r="C202" s="15"/>
      <c r="D202" s="15"/>
      <c r="E202" s="15"/>
      <c r="F202" s="15"/>
      <c r="G202" s="15"/>
      <c r="H202" s="15"/>
      <c r="AA202" s="3">
        <f ca="1">H129</f>
        <v>124480</v>
      </c>
    </row>
    <row r="203" spans="1:27" x14ac:dyDescent="0.2">
      <c r="A203" s="15"/>
      <c r="B203" s="15"/>
      <c r="C203" s="15"/>
      <c r="D203" s="15"/>
      <c r="E203" s="15"/>
      <c r="F203" s="15"/>
      <c r="G203" s="15"/>
      <c r="H203" s="15"/>
      <c r="AA203" s="3">
        <f ca="1">E136-E137</f>
        <v>22351.708116683185</v>
      </c>
    </row>
    <row r="204" spans="1:27" x14ac:dyDescent="0.2">
      <c r="A204" s="15"/>
      <c r="B204" s="15"/>
      <c r="C204" s="15"/>
      <c r="D204" s="15"/>
      <c r="E204" s="15"/>
      <c r="F204" s="15"/>
      <c r="G204" s="15"/>
      <c r="H204" s="15"/>
      <c r="AA204" s="3">
        <f ca="1">F136-F137</f>
        <v>1788136.6493346549</v>
      </c>
    </row>
    <row r="205" spans="1:27" x14ac:dyDescent="0.2">
      <c r="AA205" s="2">
        <f ca="1">E134/E7</f>
        <v>476.85210000000001</v>
      </c>
    </row>
    <row r="206" spans="1:27" x14ac:dyDescent="0.2">
      <c r="AA206" s="2">
        <f ca="1">E137/E7</f>
        <v>62.24</v>
      </c>
    </row>
    <row r="207" spans="1:27" x14ac:dyDescent="0.2">
      <c r="AA207" s="12">
        <f ca="1">G141+G142</f>
        <v>539.09209999999996</v>
      </c>
    </row>
    <row r="208" spans="1:27" x14ac:dyDescent="0.2">
      <c r="AA208" s="3">
        <f ca="1">E139</f>
        <v>22351.708116683185</v>
      </c>
    </row>
    <row r="209" spans="27:27" x14ac:dyDescent="0.2">
      <c r="AA209" s="2">
        <f>IF(E95=1,0.19465*E7+0.66805*((C7-G7)/2)-0.20342*D13,(C7-G7)/2)</f>
        <v>6.717835</v>
      </c>
    </row>
    <row r="210" spans="27:27" x14ac:dyDescent="0.2">
      <c r="AA210" s="2">
        <f>(C8-G8)/2</f>
        <v>142.5</v>
      </c>
    </row>
    <row r="211" spans="27:27" x14ac:dyDescent="0.2">
      <c r="AA211" s="2">
        <f>SQRT((E7*I149)^2+(E8*I148)^2+(I148*I149)^2)</f>
        <v>10302.963333841077</v>
      </c>
    </row>
    <row r="212" spans="27:27" x14ac:dyDescent="0.2">
      <c r="AA212" s="2">
        <f ca="1">IF(I147&gt;0,1-I155,I155)</f>
        <v>0.98497558050268685</v>
      </c>
    </row>
    <row r="213" spans="27:27" x14ac:dyDescent="0.2">
      <c r="AA213" s="2">
        <f ca="1">ABS(I147/I150)</f>
        <v>2.1694445949610288</v>
      </c>
    </row>
    <row r="214" spans="27:27" x14ac:dyDescent="0.2">
      <c r="AA214" s="2">
        <f ca="1">ABS((I147-D155)/I150)</f>
        <v>2.1694445949610288</v>
      </c>
    </row>
    <row r="215" spans="27:27" x14ac:dyDescent="0.2">
      <c r="AA215" s="2">
        <f ca="1">IF(I147-D155&gt;0,1-J155,J155)</f>
        <v>0.98497558050268685</v>
      </c>
    </row>
    <row r="216" spans="27:27" x14ac:dyDescent="0.2">
      <c r="AA216" s="2">
        <f ca="1">1/(1+(0.2316419*I152))</f>
        <v>0.66554222512563888</v>
      </c>
    </row>
    <row r="217" spans="27:27" x14ac:dyDescent="0.2">
      <c r="AA217" s="2">
        <f ca="1">1/(1+(0.2316419*J152))</f>
        <v>0.66554222512563888</v>
      </c>
    </row>
    <row r="218" spans="27:27" x14ac:dyDescent="0.2">
      <c r="AA218" s="2">
        <f>I150/E132</f>
        <v>0.28779227189500212</v>
      </c>
    </row>
    <row r="219" spans="27:27" x14ac:dyDescent="0.2">
      <c r="AA219" s="2">
        <f ca="1">0.398942281*EXP(I152^2/-2)</f>
        <v>3.7923532207285657E-2</v>
      </c>
    </row>
    <row r="220" spans="27:27" x14ac:dyDescent="0.2">
      <c r="AA220" s="2">
        <f ca="1">0.398942281*EXP(J152^2/-2)</f>
        <v>3.7923532207285657E-2</v>
      </c>
    </row>
    <row r="221" spans="27:27" x14ac:dyDescent="0.2">
      <c r="AA221" s="2">
        <f ca="1">I154*(0.31938153*I153-0.356563782*I153^2+1.781477937*I153^3-1.821255978*I153^4+1.330274429*I153^5)</f>
        <v>1.5024419497313115E-2</v>
      </c>
    </row>
    <row r="222" spans="27:27" x14ac:dyDescent="0.2">
      <c r="AA222" s="2">
        <f ca="1">J154*(0.31938153*J153-0.356563782*J153^2+1.781477937*J153^3-1.821255978*J153^4+1.330274429*J153^5)</f>
        <v>1.5024419497313115E-2</v>
      </c>
    </row>
    <row r="223" spans="27:27" x14ac:dyDescent="0.2">
      <c r="AA223" s="2">
        <f ca="1">I147+0.97*I150</f>
        <v>32345.582550509029</v>
      </c>
    </row>
    <row r="224" spans="27:27" x14ac:dyDescent="0.2">
      <c r="AA224" s="2">
        <f ca="1">I147+0.43*I150</f>
        <v>26781.982350234848</v>
      </c>
    </row>
    <row r="225" spans="27:27" x14ac:dyDescent="0.2">
      <c r="AA225" s="10">
        <f ca="1">I147</f>
        <v>22351.708116683185</v>
      </c>
    </row>
    <row r="226" spans="27:27" x14ac:dyDescent="0.2">
      <c r="AA226" s="2">
        <f ca="1">I147-0.43*I150</f>
        <v>17921.433883131522</v>
      </c>
    </row>
    <row r="227" spans="27:27" x14ac:dyDescent="0.2">
      <c r="AA227" s="2">
        <f ca="1">I147-0.97*I150</f>
        <v>12357.833682857341</v>
      </c>
    </row>
  </sheetData>
  <sheetProtection password="CC06" sheet="1" objects="1" scenarios="1"/>
  <phoneticPr fontId="3" type="noConversion"/>
  <conditionalFormatting sqref="H157">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73" r:id="rId1"/>
    <hyperlink ref="D175" r:id="rId2"/>
  </hyperlinks>
  <pageMargins left="0.75" right="0.75" top="1" bottom="1" header="0.5" footer="0.5"/>
  <pageSetup scale="68" orientation="portrait" blackAndWhite="1" r:id="rId3"/>
  <headerFooter alignWithMargins="0">
    <oddHeader xml:space="preserve">&amp;L                                                                        </oddHeader>
    <oddFooter>&amp;CPage -&amp;P-&amp;R</oddFooter>
  </headerFooter>
  <rowBreaks count="2" manualBreakCount="2">
    <brk id="67" max="7" man="1"/>
    <brk id="129" max="7" man="1"/>
  </rowBreaks>
  <colBreaks count="1" manualBreakCount="1">
    <brk id="8" max="1048575"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PEAR</vt:lpstr>
      <vt:lpstr>APPLE1</vt:lpstr>
      <vt:lpstr>Criteria</vt:lpstr>
      <vt:lpstr>Database</vt:lpstr>
      <vt:lpstr>PEAR!Print_Area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 Margaret (OMAFRA)</dc:creator>
  <cp:lastModifiedBy>Bertrand, Emilie (OMAFRA)</cp:lastModifiedBy>
  <cp:lastPrinted>2011-05-26T19:05:53Z</cp:lastPrinted>
  <dcterms:created xsi:type="dcterms:W3CDTF">2011-05-25T18:49:26Z</dcterms:created>
  <dcterms:modified xsi:type="dcterms:W3CDTF">2017-09-25T17:54:57Z</dcterms:modified>
</cp:coreProperties>
</file>