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685" yWindow="0" windowWidth="14055" windowHeight="12855"/>
  </bookViews>
  <sheets>
    <sheet name="Footnotes" sheetId="6" r:id="rId1"/>
    <sheet name="DirectSeeded" sheetId="4" r:id="rId2"/>
    <sheet name="UnderSeeded" sheetId="7" r:id="rId3"/>
  </sheets>
  <calcPr calcId="145621" concurrentCalc="0"/>
</workbook>
</file>

<file path=xl/calcChain.xml><?xml version="1.0" encoding="utf-8"?>
<calcChain xmlns="http://schemas.openxmlformats.org/spreadsheetml/2006/main">
  <c r="C49" i="4" l="1"/>
  <c r="C52" i="4"/>
  <c r="B49" i="4"/>
  <c r="B52" i="4"/>
  <c r="C53" i="7"/>
  <c r="B53" i="7"/>
  <c r="C56" i="7"/>
  <c r="B56" i="7"/>
  <c r="B9" i="7"/>
  <c r="B21" i="7"/>
  <c r="B24" i="7"/>
  <c r="B28" i="7"/>
  <c r="B29" i="7"/>
  <c r="B31" i="7"/>
  <c r="C12" i="7"/>
  <c r="C21" i="7"/>
  <c r="C24" i="7"/>
  <c r="C28" i="7"/>
  <c r="C29" i="7"/>
  <c r="C31" i="7"/>
  <c r="C34" i="7"/>
  <c r="B34" i="7"/>
  <c r="B35" i="7"/>
  <c r="C35" i="7"/>
  <c r="B40" i="7"/>
  <c r="C40" i="7"/>
  <c r="B41" i="7"/>
  <c r="C41" i="7"/>
  <c r="B42" i="7"/>
  <c r="C42" i="7"/>
  <c r="B44" i="7"/>
  <c r="C44" i="7"/>
  <c r="B45" i="7"/>
  <c r="C45" i="7"/>
  <c r="B48" i="7"/>
  <c r="C48" i="7"/>
  <c r="B9" i="4"/>
  <c r="C12" i="4"/>
  <c r="B22" i="4"/>
  <c r="C22" i="4"/>
  <c r="B26" i="4"/>
  <c r="C26" i="4"/>
  <c r="B29" i="4"/>
  <c r="C29" i="4"/>
  <c r="B30" i="4"/>
  <c r="C30" i="4"/>
  <c r="B35" i="4"/>
  <c r="C35" i="4"/>
  <c r="B36" i="4"/>
  <c r="C36" i="4"/>
  <c r="B37" i="4"/>
  <c r="C37" i="4"/>
  <c r="B39" i="4"/>
  <c r="C39" i="4"/>
  <c r="B41" i="4"/>
  <c r="C41" i="4"/>
  <c r="B44" i="4"/>
  <c r="C44" i="4"/>
</calcChain>
</file>

<file path=xl/comments1.xml><?xml version="1.0" encoding="utf-8"?>
<comments xmlns="http://schemas.openxmlformats.org/spreadsheetml/2006/main">
  <authors>
    <author>Molenhuis, John (OMAFRA)</author>
  </authors>
  <commentList>
    <comment ref="A4" authorId="0">
      <text>
        <r>
          <rPr>
            <b/>
            <sz val="9"/>
            <color indexed="81"/>
            <rFont val="Tahoma"/>
            <family val="2"/>
          </rPr>
          <t xml:space="preserve">1. Scenarios for both conventional tillage and no-till establishment. No-till establishment may be more practical on some land due to slope and stoniness. No-till establishment may be less reliable, so further research is required. </t>
        </r>
        <r>
          <rPr>
            <sz val="9"/>
            <color indexed="81"/>
            <rFont val="Tahoma"/>
            <family val="2"/>
          </rPr>
          <t xml:space="preserve">
</t>
        </r>
      </text>
    </comment>
    <comment ref="A6" authorId="0">
      <text>
        <r>
          <rPr>
            <b/>
            <sz val="9"/>
            <color indexed="81"/>
            <rFont val="Tahoma"/>
            <family val="2"/>
          </rPr>
          <t>2. This is assuming that the preparation of the field in the season or two before switchgrass seeding gets control of weeds, levels field and otherwise prepares field for switchgrass success.
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9"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0"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2" authorId="0">
      <text>
        <r>
          <rPr>
            <b/>
            <sz val="9"/>
            <color indexed="81"/>
            <rFont val="Tahoma"/>
            <family val="2"/>
          </rPr>
          <t>4. Seed costs may change according to supply and demand as a seed industry develops. Seeding rate recommendations may change based on further research.</t>
        </r>
        <r>
          <rPr>
            <sz val="9"/>
            <color indexed="81"/>
            <rFont val="Tahoma"/>
            <family val="2"/>
          </rPr>
          <t xml:space="preserve">
</t>
        </r>
      </text>
    </comment>
    <comment ref="A14"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5"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6" authorId="0">
      <text>
        <r>
          <rPr>
            <b/>
            <sz val="9"/>
            <color indexed="81"/>
            <rFont val="Tahoma"/>
            <family val="2"/>
          </rPr>
          <t>5. No herbicides are currently registered for use on switchgrass in Ontario. Product registration of herbicides will be required before commercial use. Research is currently being done by the University of Guelph. Recommended products, rates and costs will depend on research results.  Minor use submissions for Buctril M and Aatrex herbicides are under review. Additional herbicides solutions have been prioritized by OMAFRA for future development.</t>
        </r>
        <r>
          <rPr>
            <sz val="9"/>
            <color indexed="81"/>
            <rFont val="Tahoma"/>
            <family val="2"/>
          </rPr>
          <t xml:space="preserve">
</t>
        </r>
      </text>
    </comment>
    <comment ref="A17"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21"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23" authorId="0">
      <text>
        <r>
          <rPr>
            <b/>
            <sz val="9"/>
            <color indexed="81"/>
            <rFont val="Tahoma"/>
            <family val="2"/>
          </rPr>
          <t>6. Establishment year land cost is used to account for slow establishment that will likely result in no product to sell for the first year.  Land costs have the potential to be extremely variable, depending on factors such as location, drainage, slope, and the economics of other land uses, such as other crops and cattle. Land may be available at lower value, but with lower yield potential.</t>
        </r>
      </text>
    </comment>
    <comment ref="A24" authorId="0">
      <text>
        <r>
          <rPr>
            <b/>
            <sz val="9"/>
            <color indexed="81"/>
            <rFont val="Tahoma"/>
            <family val="2"/>
          </rPr>
          <t>7. Establishment failure rate is used to account for unsuccessful establishment 1 time out of 10. In southern Ontario there is limited risk of a switchgrass stand failure when planted on cropland. On marginal lands and in northern zones switchgrass stand failure rates of up to 20% may be experienced.</t>
        </r>
        <r>
          <rPr>
            <sz val="9"/>
            <color indexed="81"/>
            <rFont val="Tahoma"/>
            <family val="2"/>
          </rPr>
          <t xml:space="preserve">
</t>
        </r>
      </text>
    </comment>
    <comment ref="A29" authorId="0">
      <text>
        <r>
          <rPr>
            <b/>
            <sz val="9"/>
            <color indexed="81"/>
            <rFont val="Tahoma"/>
            <family val="2"/>
          </rPr>
          <t>9. The establishment costs will need to be recovered over the productive life. The costs are amortized at an interest rate of 4% over 7 production years. This will vary widely, depending on agronomic factors such as establishment success and yield, and economic factors such as alternate crop opportunities.</t>
        </r>
      </text>
    </comment>
    <comment ref="A30" authorId="0">
      <text>
        <r>
          <rPr>
            <b/>
            <sz val="9"/>
            <color indexed="81"/>
            <rFont val="Tahoma"/>
            <family val="2"/>
          </rPr>
          <t>10. Research is required to determine appropriate N rates based on yield response.</t>
        </r>
        <r>
          <rPr>
            <sz val="9"/>
            <color indexed="81"/>
            <rFont val="Tahoma"/>
            <family val="2"/>
          </rPr>
          <t xml:space="preserve">
</t>
        </r>
      </text>
    </comment>
    <comment ref="A31" authorId="0">
      <text>
        <r>
          <rPr>
            <b/>
            <sz val="9"/>
            <color indexed="81"/>
            <rFont val="Tahoma"/>
            <family val="2"/>
          </rPr>
          <t>12. There is generally no economic response to P and K fertilization of switchgrass when the crop is fall mowed and spring baled. In this budget allocated any costs to P and K fertilization.</t>
        </r>
      </text>
    </comment>
    <comment ref="A32"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33"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34"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35"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36" authorId="0">
      <text>
        <r>
          <rPr>
            <b/>
            <sz val="9"/>
            <color indexed="81"/>
            <rFont val="Tahoma"/>
            <family val="2"/>
          </rPr>
          <t>13. Removal &amp; storage estimates reflect the cost of moving bales off the field and into storage (building or on skids and under a tarp).</t>
        </r>
      </text>
    </comment>
    <comment ref="A37" authorId="0">
      <text>
        <r>
          <rPr>
            <b/>
            <sz val="9"/>
            <color indexed="81"/>
            <rFont val="Tahoma"/>
            <family val="2"/>
          </rPr>
          <t>13. Removal &amp; storage estimates reflect the cost of moving bales off the field and into storage (building or on skids and under a tarp).</t>
        </r>
      </text>
    </comment>
    <comment ref="A38" authorId="0">
      <text>
        <r>
          <rPr>
            <b/>
            <sz val="9"/>
            <color indexed="81"/>
            <rFont val="Tahoma"/>
            <family val="2"/>
          </rPr>
          <t>14. Hauling - if the processing plant is pricing based on FOB the plant, trucking costs will need to be included to haul from storage to the plant</t>
        </r>
        <r>
          <rPr>
            <sz val="9"/>
            <color indexed="81"/>
            <rFont val="Tahoma"/>
            <family val="2"/>
          </rPr>
          <t xml:space="preserve">
</t>
        </r>
      </text>
    </comment>
    <comment ref="A44" authorId="0">
      <text>
        <r>
          <rPr>
            <b/>
            <sz val="9"/>
            <color indexed="81"/>
            <rFont val="Tahoma"/>
            <family val="2"/>
          </rPr>
          <t>11. Yield estimate at 4.0 tonnes/acre are based on a fall cut - spring harvest system. Yields are potentially higher with a fall harvest, but with higher ash content and phosphorus (P) &amp; potassium (K) removal rates. Yields will vary widely depending on agronomics and environmental conditions. An estimate will be become more accurate with further field experience in Ontario.  Direct seeded switchgrass is typically not cut in the first year and provides no revenue. In Year 2 (the first production year) yields are generally about 60% of those of fully mature stands on clay soils and 80% of fully mature stands on sandy soils. On more marginal farmlands and in northern zones a slower yield ramp up may occur.</t>
        </r>
        <r>
          <rPr>
            <sz val="9"/>
            <color indexed="81"/>
            <rFont val="Tahoma"/>
            <family val="2"/>
          </rPr>
          <t xml:space="preserve">
</t>
        </r>
      </text>
    </comment>
    <comment ref="A47" authorId="0">
      <text>
        <r>
          <rPr>
            <b/>
            <sz val="9"/>
            <color indexed="81"/>
            <rFont val="Tahoma"/>
            <family val="2"/>
          </rPr>
          <t>8. Land costs have the potential to be extremely variable, depending on factors such as location, drainage, slope, and the economics of other land uses, such as other crops and cattle. Land may be available at lower value, but with lower yield potential.</t>
        </r>
      </text>
    </comment>
    <comment ref="A48" authorId="0">
      <text>
        <r>
          <rPr>
            <b/>
            <sz val="9"/>
            <color indexed="81"/>
            <rFont val="Tahoma"/>
            <family val="2"/>
          </rPr>
          <t>15. In order to attract producers, farmers will expect a "Return To Risk &amp; Management" in addition to the COP. This will vary with individual producers, depending on the profitability and risks associated with other crops and investments.</t>
        </r>
      </text>
    </comment>
    <comment ref="A52" authorId="0">
      <text>
        <r>
          <rPr>
            <b/>
            <sz val="9"/>
            <color indexed="81"/>
            <rFont val="Tahoma"/>
            <family val="2"/>
          </rPr>
          <t>11. Yield estimate at 4.0 tonnes/acre are based on a fall cut - spring harvest system. Yields are potentially higher with a fall harvest, but with higher ash content and phosphorus (P) &amp; potassium (K) removal rates. Yields will vary widely depending on agronomics and environmental conditions. An estimate will be become more accurate with further field experience in Ontario.  Direct seeded switchgrass is typically not cut in the first year and provides no revenue. In Year 2 (the first production year) yields are generally about 60% of those of fully mature stands on clay soils and 80% of fully mature stands on sandy soils. On more marginal farmlands and in northern zones a slower yield ramp up may occur.</t>
        </r>
        <r>
          <rPr>
            <sz val="9"/>
            <color indexed="81"/>
            <rFont val="Tahoma"/>
            <family val="2"/>
          </rPr>
          <t xml:space="preserve">
</t>
        </r>
      </text>
    </comment>
  </commentList>
</comments>
</file>

<file path=xl/comments2.xml><?xml version="1.0" encoding="utf-8"?>
<comments xmlns="http://schemas.openxmlformats.org/spreadsheetml/2006/main">
  <authors>
    <author>Molenhuis, John (OMAFRA)</author>
  </authors>
  <commentList>
    <comment ref="A4" authorId="0">
      <text>
        <r>
          <rPr>
            <b/>
            <sz val="9"/>
            <color indexed="81"/>
            <rFont val="Tahoma"/>
            <family val="2"/>
          </rPr>
          <t xml:space="preserve">1. Scenarios for both conventional tillage and no-till establishment. No-till establishment may be more practical on some land due to slope and stoniness. No-till establishment may be less reliable, so further research is required. </t>
        </r>
        <r>
          <rPr>
            <sz val="9"/>
            <color indexed="81"/>
            <rFont val="Tahoma"/>
            <family val="2"/>
          </rPr>
          <t xml:space="preserve">
</t>
        </r>
      </text>
    </comment>
    <comment ref="A6" authorId="0">
      <text>
        <r>
          <rPr>
            <b/>
            <sz val="9"/>
            <color indexed="81"/>
            <rFont val="Tahoma"/>
            <family val="2"/>
          </rPr>
          <t>2. This is assuming that the preparation of the field in the season or two before switchgrass seeding gets control of weeds, levels field and otherwise prepares field for switchgrass success.
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9"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0"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2" authorId="0">
      <text>
        <r>
          <rPr>
            <b/>
            <sz val="9"/>
            <color indexed="81"/>
            <rFont val="Tahoma"/>
            <family val="2"/>
          </rPr>
          <t>4. Seed costs may change according to supply and demand as a seed industry develops. Seeding rate recommendations may change based on further research.</t>
        </r>
        <r>
          <rPr>
            <sz val="9"/>
            <color indexed="81"/>
            <rFont val="Tahoma"/>
            <family val="2"/>
          </rPr>
          <t xml:space="preserve">
</t>
        </r>
      </text>
    </comment>
    <comment ref="A15"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6"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17" authorId="0">
      <text>
        <r>
          <rPr>
            <b/>
            <sz val="9"/>
            <color indexed="81"/>
            <rFont val="Tahoma"/>
            <family val="2"/>
          </rPr>
          <t>5. No herbicides are currently registered for use on switchgrass in Ontario. Product registration of herbicides will be required before commercial use. Research is currently being done by the University of Guelph. Recommended products, rates and costs will depend on research results.  Minor use submissions for Buctril M and Aatrex herbicides are under review. Additional herbicides solutions have been prioritized by OMAFRA for future development.</t>
        </r>
        <r>
          <rPr>
            <sz val="9"/>
            <color indexed="81"/>
            <rFont val="Tahoma"/>
            <family val="2"/>
          </rPr>
          <t xml:space="preserve">
</t>
        </r>
      </text>
    </comment>
    <comment ref="A18"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22"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23"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25" authorId="0">
      <text>
        <r>
          <rPr>
            <b/>
            <sz val="9"/>
            <color indexed="81"/>
            <rFont val="Tahoma"/>
            <family val="2"/>
          </rPr>
          <t>6. Establishment year land cost is used to account for slow establishment that will likely result in no product to sell for the first year.  Land costs have the potential to be extremely variable, depending on factors such as location, drainage, slope, and the economics of other land uses, such as other crops and cattle. Land may be available at lower value, but with lower yield potential.</t>
        </r>
      </text>
    </comment>
    <comment ref="A26" authorId="0">
      <text>
        <r>
          <rPr>
            <b/>
            <sz val="9"/>
            <color indexed="81"/>
            <rFont val="Tahoma"/>
            <family val="2"/>
          </rPr>
          <t>7. Establishment failure rate is used to account for unsuccessful establishment 1 time out of 10. In southern Ontario there is limited risk of a switchgrass stand failure when planted on cropland. On marginal lands and in northern zones switchgrass stand failure rates of up to 20% may be experienced.</t>
        </r>
        <r>
          <rPr>
            <sz val="9"/>
            <color indexed="81"/>
            <rFont val="Tahoma"/>
            <family val="2"/>
          </rPr>
          <t xml:space="preserve">
</t>
        </r>
      </text>
    </comment>
    <comment ref="A34" authorId="0">
      <text>
        <r>
          <rPr>
            <b/>
            <sz val="9"/>
            <color indexed="81"/>
            <rFont val="Tahoma"/>
            <family val="2"/>
          </rPr>
          <t>9. The establishment costs will need to be recovered over the productive life. The costs are amortized at an interest rate of 4% over 7 production years. This will vary widely, depending on agronomic factors such as establishment success and yield, and economic factors such as alternate crop opportunities.</t>
        </r>
      </text>
    </comment>
    <comment ref="A35" authorId="0">
      <text>
        <r>
          <rPr>
            <b/>
            <sz val="9"/>
            <color indexed="81"/>
            <rFont val="Tahoma"/>
            <family val="2"/>
          </rPr>
          <t>10. Research is required to determine appropriate N rates based on yield response.</t>
        </r>
        <r>
          <rPr>
            <sz val="9"/>
            <color indexed="81"/>
            <rFont val="Tahoma"/>
            <family val="2"/>
          </rPr>
          <t xml:space="preserve">
</t>
        </r>
      </text>
    </comment>
    <comment ref="A36" authorId="0">
      <text>
        <r>
          <rPr>
            <b/>
            <sz val="9"/>
            <color indexed="81"/>
            <rFont val="Tahoma"/>
            <family val="2"/>
          </rPr>
          <t>12. There is generally no economic response to P and K fertilization of switchgrass when the crop is fall mowed and spring baled. In this budget allocated any costs to P and K fertilization.</t>
        </r>
      </text>
    </comment>
    <comment ref="A37"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38"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39"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40" authorId="0">
      <text>
        <r>
          <rPr>
            <b/>
            <sz val="9"/>
            <color indexed="81"/>
            <rFont val="Tahoma"/>
            <family val="2"/>
          </rPr>
          <t>3. Field operation costs (spraying, plowing, cultivating, seeding, fertilizer spreading, swathing and baling) have been estimated from commercial custom rates and market conditions</t>
        </r>
        <r>
          <rPr>
            <sz val="9"/>
            <color indexed="81"/>
            <rFont val="Tahoma"/>
            <family val="2"/>
          </rPr>
          <t xml:space="preserve">
</t>
        </r>
      </text>
    </comment>
    <comment ref="A48" authorId="0">
      <text>
        <r>
          <rPr>
            <b/>
            <sz val="9"/>
            <color indexed="81"/>
            <rFont val="Tahoma"/>
            <family val="2"/>
          </rPr>
          <t>11. Yield estimate at 4.0 tonnes/acre are based on a fall cut - spring harvest system. Yields are potentially higher with a fall harvest, but with higher ash content and phosphorus (P) &amp; potassium (K) removal rates. Yields will vary widely depending on agronomics and environmental conditions. An estimate will be become more accurate with further field experience in Ontario.  Direct seeded switchgrass is typically not cut in the first year and provides no revenue. In Year 2 (the first production year) yields are generally about 60% of those of fully mature stands on clay soils and 80% of fully mature stands on sandy soils. On more marginal farmlands and in northern zones a slower yield ramp up may occur.</t>
        </r>
        <r>
          <rPr>
            <sz val="9"/>
            <color indexed="81"/>
            <rFont val="Tahoma"/>
            <family val="2"/>
          </rPr>
          <t xml:space="preserve">
</t>
        </r>
      </text>
    </comment>
    <comment ref="A51" authorId="0">
      <text>
        <r>
          <rPr>
            <b/>
            <sz val="9"/>
            <color indexed="81"/>
            <rFont val="Tahoma"/>
            <family val="2"/>
          </rPr>
          <t>8. Land costs have the potential to be extremely variable, depending on factors such as location, drainage, slope, and the economics of other land uses, such as other crops and cattle. Land may be available at lower value, but with lower yield potential.</t>
        </r>
      </text>
    </comment>
    <comment ref="A52" authorId="0">
      <text>
        <r>
          <rPr>
            <b/>
            <sz val="9"/>
            <color indexed="81"/>
            <rFont val="Tahoma"/>
            <family val="2"/>
          </rPr>
          <t>15. In order to attract producers, farmers will expect a "Return To Risk &amp; Management" in addition to the COP. This will vary with individual producers, depending on the profitability and risks associated with other crops and investments.</t>
        </r>
      </text>
    </comment>
    <comment ref="A56" authorId="0">
      <text>
        <r>
          <rPr>
            <b/>
            <sz val="9"/>
            <color indexed="81"/>
            <rFont val="Tahoma"/>
            <family val="2"/>
          </rPr>
          <t>11. Yield estimate at 4.0 tonnes/acre are based on a fall cut - spring harvest system. Yields are potentially higher with a fall harvest, but with higher ash content and phosphorus (P) &amp; potassium (K) removal rates. Yields will vary widely depending on agronomics and environmental conditions. An estimate will be become more accurate with further field experience in Ontario.  Direct seeded switchgrass is typically not cut in the first year and provides no revenue. In Year 2 (the first production year) yields are generally about 60% of those of fully mature stands on clay soils and 80% of fully mature stands on sandy soils. On more marginal farmlands and in northern zones a slower yield ramp up may occur.</t>
        </r>
        <r>
          <rPr>
            <sz val="9"/>
            <color indexed="81"/>
            <rFont val="Tahoma"/>
            <family val="2"/>
          </rPr>
          <t xml:space="preserve">
</t>
        </r>
      </text>
    </comment>
  </commentList>
</comments>
</file>

<file path=xl/sharedStrings.xml><?xml version="1.0" encoding="utf-8"?>
<sst xmlns="http://schemas.openxmlformats.org/spreadsheetml/2006/main" count="130" uniqueCount="78">
  <si>
    <t>$ Per Acre</t>
  </si>
  <si>
    <r>
      <t xml:space="preserve">Establishment Costs </t>
    </r>
    <r>
      <rPr>
        <b/>
        <vertAlign val="superscript"/>
        <sz val="12"/>
        <rFont val="Times New Roman"/>
        <family val="1"/>
      </rPr>
      <t>(</t>
    </r>
    <r>
      <rPr>
        <vertAlign val="superscript"/>
        <sz val="12"/>
        <rFont val="Times New Roman"/>
        <family val="1"/>
      </rPr>
      <t>1)</t>
    </r>
  </si>
  <si>
    <t>seedbed preparation</t>
  </si>
  <si>
    <t>seeding</t>
  </si>
  <si>
    <r>
      <t xml:space="preserve">weed control (post-emerg tank mix) </t>
    </r>
    <r>
      <rPr>
        <vertAlign val="superscript"/>
        <sz val="12"/>
        <rFont val="Times New Roman"/>
        <family val="1"/>
      </rPr>
      <t>(5)</t>
    </r>
  </si>
  <si>
    <r>
      <t xml:space="preserve">spraying </t>
    </r>
    <r>
      <rPr>
        <vertAlign val="superscript"/>
        <sz val="12"/>
        <rFont val="Times New Roman"/>
        <family val="1"/>
      </rPr>
      <t>(3)</t>
    </r>
    <r>
      <rPr>
        <sz val="12"/>
        <rFont val="Times New Roman"/>
        <family val="1"/>
      </rPr>
      <t xml:space="preserve"> </t>
    </r>
  </si>
  <si>
    <t>adjuvant</t>
  </si>
  <si>
    <t>Annual Costs – Per Acre</t>
  </si>
  <si>
    <r>
      <t xml:space="preserve">fertilizer spreading </t>
    </r>
    <r>
      <rPr>
        <vertAlign val="superscript"/>
        <sz val="12"/>
        <rFont val="Times New Roman"/>
        <family val="1"/>
      </rPr>
      <t xml:space="preserve">(3) </t>
    </r>
  </si>
  <si>
    <r>
      <t xml:space="preserve">swathing </t>
    </r>
    <r>
      <rPr>
        <vertAlign val="superscript"/>
        <sz val="12"/>
        <rFont val="Times New Roman"/>
        <family val="1"/>
      </rPr>
      <t>(3)</t>
    </r>
    <r>
      <rPr>
        <sz val="12"/>
        <rFont val="Times New Roman"/>
        <family val="1"/>
      </rPr>
      <t xml:space="preserve"> </t>
    </r>
  </si>
  <si>
    <t>Total Costs Per Acre</t>
  </si>
  <si>
    <t>Annual Costs – Per Tonne</t>
  </si>
  <si>
    <t>$ Per Tonne</t>
  </si>
  <si>
    <t>trucking (farm to processing facility)</t>
  </si>
  <si>
    <t>Per Acre</t>
  </si>
  <si>
    <t xml:space="preserve">Switchgrass Cost-Of-Production Estimates </t>
  </si>
  <si>
    <t>SPRING</t>
  </si>
  <si>
    <t xml:space="preserve">FALL   </t>
  </si>
  <si>
    <t>No till</t>
  </si>
  <si>
    <t>Conventional</t>
  </si>
  <si>
    <r>
      <t xml:space="preserve">seeding (drill) </t>
    </r>
    <r>
      <rPr>
        <vertAlign val="superscript"/>
        <sz val="12"/>
        <rFont val="Times New Roman"/>
        <family val="1"/>
      </rPr>
      <t>(3)</t>
    </r>
    <r>
      <rPr>
        <sz val="12"/>
        <rFont val="Times New Roman"/>
        <family val="1"/>
      </rPr>
      <t xml:space="preserve"> </t>
    </r>
  </si>
  <si>
    <t xml:space="preserve">annual grass herbicide </t>
  </si>
  <si>
    <r>
      <t xml:space="preserve">N fertilizer (60-75 lbs/ac actual N @ 57¢/lb) </t>
    </r>
    <r>
      <rPr>
        <vertAlign val="superscript"/>
        <sz val="12"/>
        <rFont val="Times New Roman"/>
        <family val="1"/>
      </rPr>
      <t>(10)</t>
    </r>
    <r>
      <rPr>
        <sz val="12"/>
        <rFont val="Times New Roman"/>
        <family val="1"/>
      </rPr>
      <t xml:space="preserve"> </t>
    </r>
  </si>
  <si>
    <r>
      <t xml:space="preserve">baling ($1.23/ft large square) </t>
    </r>
    <r>
      <rPr>
        <vertAlign val="superscript"/>
        <sz val="12"/>
        <rFont val="Times New Roman"/>
        <family val="1"/>
      </rPr>
      <t>(3)</t>
    </r>
    <r>
      <rPr>
        <sz val="12"/>
        <rFont val="Times New Roman"/>
        <family val="1"/>
      </rPr>
      <t xml:space="preserve"> 3x4x8 feet, 950 pounds, 9.3 bales/ac</t>
    </r>
  </si>
  <si>
    <t>storage ($4/bale)</t>
  </si>
  <si>
    <r>
      <t xml:space="preserve">establishment year land cost </t>
    </r>
    <r>
      <rPr>
        <vertAlign val="superscript"/>
        <sz val="12"/>
        <rFont val="Times New Roman"/>
        <family val="1"/>
      </rPr>
      <t>(6)</t>
    </r>
    <r>
      <rPr>
        <sz val="12"/>
        <rFont val="Times New Roman"/>
        <family val="1"/>
      </rPr>
      <t xml:space="preserve"> </t>
    </r>
  </si>
  <si>
    <r>
      <t xml:space="preserve">clipping </t>
    </r>
    <r>
      <rPr>
        <vertAlign val="superscript"/>
        <sz val="12"/>
        <rFont val="Times New Roman"/>
        <family val="1"/>
      </rPr>
      <t xml:space="preserve">(3) </t>
    </r>
  </si>
  <si>
    <t xml:space="preserve">starter fertilizer </t>
  </si>
  <si>
    <t xml:space="preserve">operating interest (operating costs / 2 X 4%) </t>
  </si>
  <si>
    <t>annual broadleaf herbicide (Buctril M = 0.4 l/ac x $18.50/l)</t>
  </si>
  <si>
    <t>Assumptions</t>
  </si>
  <si>
    <t>Note - Assumptions made for the purpose of this budget (costs, yields, etc) are estimates for discussion only, and will change according to research, agronomics and economic conditions. Users should make their own assumptions. As switchgrass is a new commercial crop in Ontario, considerable research and field experience is required in order to answer many of the agronomic and economic questions being asked. Assumptions made in these budget estimates are not to be considered recommendations.</t>
  </si>
  <si>
    <t>Field operation costs (spraying, plowing, cultivating, seeding, fertilizer spreading, swathing and baling) have been estimated from commercial custom rates and market conditions.</t>
  </si>
  <si>
    <t>Seed costs may change according to supply and demand as a seed industry develops. Seeding rate recommendations may change based on further research.</t>
  </si>
  <si>
    <t>Land costs have the potential to be extremely variable, depending on factors such as location, drainage, slope, and the economics of other land uses, such as other crops and cattle. Land may be available at lower value, but with lower yield potential.</t>
  </si>
  <si>
    <t>Research is required to determine appropriate N rates based on yield response.</t>
  </si>
  <si>
    <t>Removal &amp; storage estimates reflect the cost of moving bales off the field and into storage (building or on skids and under a tarp).</t>
  </si>
  <si>
    <t>Hauling - if the processing plant is pricing based on FOB the plant, trucking costs will need to be included to haul from storage to the plant</t>
  </si>
  <si>
    <t>In order to attract producers, farmers will expect a "Return To Risk &amp; Management" in addition to the COP. This will vary with individual producers, depending on the profitability and risks associated with other crops and investments.</t>
  </si>
  <si>
    <r>
      <t xml:space="preserve">establishment failure rate </t>
    </r>
    <r>
      <rPr>
        <vertAlign val="superscript"/>
        <sz val="12"/>
        <rFont val="Times New Roman"/>
        <family val="1"/>
      </rPr>
      <t>(7)</t>
    </r>
    <r>
      <rPr>
        <sz val="12"/>
        <rFont val="Times New Roman"/>
        <family val="1"/>
      </rPr>
      <t xml:space="preserve"> </t>
    </r>
  </si>
  <si>
    <r>
      <t>P &amp; K removal rate fertility costs</t>
    </r>
    <r>
      <rPr>
        <vertAlign val="superscript"/>
        <sz val="12"/>
        <rFont val="Times New Roman"/>
        <family val="1"/>
      </rPr>
      <t>(12)</t>
    </r>
    <r>
      <rPr>
        <sz val="12"/>
        <rFont val="Times New Roman"/>
        <family val="1"/>
      </rPr>
      <t xml:space="preserve"> </t>
    </r>
  </si>
  <si>
    <t>field removal ($4.75/bale)</t>
  </si>
  <si>
    <t>Spring wheat seed (130lbs/ac @ $ 0.52/lb)</t>
  </si>
  <si>
    <t>annual grass herbicide</t>
  </si>
  <si>
    <t>Total Costs Per Acre (excluding land)</t>
  </si>
  <si>
    <t>Annual Costs – Per Tonne (excluding land)</t>
  </si>
  <si>
    <t>per acre</t>
  </si>
  <si>
    <r>
      <t xml:space="preserve">Land costs </t>
    </r>
    <r>
      <rPr>
        <vertAlign val="superscript"/>
        <sz val="12"/>
        <rFont val="Times New Roman"/>
        <family val="1"/>
      </rPr>
      <t>(8)</t>
    </r>
    <r>
      <rPr>
        <sz val="12"/>
        <rFont val="Times New Roman"/>
        <family val="1"/>
      </rPr>
      <t xml:space="preserve"> </t>
    </r>
  </si>
  <si>
    <t>The establishment costs will need to be recovered over the productive life. The costs are amortized at an interest rate of 4% over 7 production years. This will vary widely, depending on agronomic factors such as establishment success and yield, and economic factors such as alternate crop opportunities.</t>
  </si>
  <si>
    <t>Yield estimate at 4.0 tonnes/acre are based on a fall cut - spring harvest system. Yields are potentially higher with a fall harvest, but with higher ash content and phosphorus (P) &amp; potassium (K) removal rates. Yields will vary widely depending on agronomics and environmental conditions. An estimate will be become more accurate with further field experience in Ontario.  Direct seeded switchgrass is typically not cut in the first year and provides no revenue. In Year 2 (the first production year) yields are generally about 60% of those of fully mature stands on clay soils and 80% of fully mature stands on sandy soils. On more marginal farmlands and in northern zones a slower yield ramp up may occur.</t>
  </si>
  <si>
    <t>There is generally no economic response to P and K fertilization of switchgrass when the crop is fall mowed and spring baled. In this budget allocated any costs to P and K fertilization.</t>
  </si>
  <si>
    <t>This is assuming that the preparation of the field in the season or two before switchgrass seeding gets control of weeds, levels field and otherwise prepares field for switchgrass success.</t>
  </si>
  <si>
    <r>
      <t xml:space="preserve">fall tillage (disc once) </t>
    </r>
    <r>
      <rPr>
        <vertAlign val="superscript"/>
        <sz val="12"/>
        <rFont val="Times New Roman"/>
        <family val="1"/>
      </rPr>
      <t xml:space="preserve">(2) (3) </t>
    </r>
  </si>
  <si>
    <r>
      <t>spring tillage cultivating twice (@$13/ac)</t>
    </r>
    <r>
      <rPr>
        <vertAlign val="superscript"/>
        <sz val="12"/>
        <rFont val="Times New Roman"/>
        <family val="1"/>
      </rPr>
      <t xml:space="preserve"> (3) </t>
    </r>
  </si>
  <si>
    <r>
      <t>packing</t>
    </r>
    <r>
      <rPr>
        <vertAlign val="superscript"/>
        <sz val="12"/>
        <rFont val="Times New Roman"/>
        <family val="1"/>
      </rPr>
      <t xml:space="preserve"> (3)</t>
    </r>
    <r>
      <rPr>
        <sz val="12"/>
        <rFont val="Times New Roman"/>
        <family val="1"/>
      </rPr>
      <t xml:space="preserve"> </t>
    </r>
  </si>
  <si>
    <r>
      <t>packing</t>
    </r>
    <r>
      <rPr>
        <vertAlign val="superscript"/>
        <sz val="12"/>
        <rFont val="Times New Roman"/>
        <family val="1"/>
      </rPr>
      <t xml:space="preserve">  (3)  </t>
    </r>
    <r>
      <rPr>
        <sz val="12"/>
        <rFont val="Times New Roman"/>
        <family val="1"/>
      </rPr>
      <t xml:space="preserve"> </t>
    </r>
  </si>
  <si>
    <r>
      <t>turning/raking</t>
    </r>
    <r>
      <rPr>
        <vertAlign val="superscript"/>
        <sz val="12"/>
        <rFont val="Times New Roman"/>
        <family val="1"/>
      </rPr>
      <t>(3)</t>
    </r>
  </si>
  <si>
    <t>Spring wheat revenue (grain) (49 bu x $6.50/bu)</t>
  </si>
  <si>
    <t>Switchgrass Cost-Of-Production Estimates (Underseeded with Spring Wheat)</t>
  </si>
  <si>
    <t xml:space="preserve">Scenarios for both conventional tillage and no-till establishment. No-till establishment may be more practical on some land due to slope and stoniness. No-till establishment may be less reliable, so further research is required. </t>
  </si>
  <si>
    <t>Annual Costs (excluding land) – Per Tonne</t>
  </si>
  <si>
    <t xml:space="preserve">Total Costs Per Acre </t>
  </si>
  <si>
    <t>Establishment year land cost is used to account for slow establishment that will likely result in no product to sell for the first year.  Land costs have the potential to be extremely variable, depending on factors such as location, drainage, slope, and the economics of other land uses, such as other crops and cattle. Land may be available at lower value, but with lower yield potential.</t>
  </si>
  <si>
    <r>
      <t>seed (10 lbs/ac @ $7.50/lb)</t>
    </r>
    <r>
      <rPr>
        <vertAlign val="superscript"/>
        <sz val="12"/>
        <rFont val="Times New Roman"/>
        <family val="1"/>
      </rPr>
      <t>(4)</t>
    </r>
    <r>
      <rPr>
        <sz val="12"/>
        <rFont val="Times New Roman"/>
        <family val="1"/>
      </rPr>
      <t xml:space="preserve"> </t>
    </r>
  </si>
  <si>
    <r>
      <t xml:space="preserve">establishment costs (over 7 years @ 4%) </t>
    </r>
    <r>
      <rPr>
        <vertAlign val="superscript"/>
        <sz val="12"/>
        <rFont val="Times New Roman"/>
        <family val="1"/>
      </rPr>
      <t xml:space="preserve">(9) </t>
    </r>
  </si>
  <si>
    <r>
      <t xml:space="preserve">Return to Risk &amp; Mgmt </t>
    </r>
    <r>
      <rPr>
        <vertAlign val="superscript"/>
        <sz val="12"/>
        <rFont val="Times New Roman"/>
        <family val="1"/>
      </rPr>
      <t xml:space="preserve">(15) </t>
    </r>
  </si>
  <si>
    <r>
      <t xml:space="preserve">field removal ($4.75/bale) </t>
    </r>
    <r>
      <rPr>
        <vertAlign val="superscript"/>
        <sz val="12"/>
        <rFont val="Times New Roman"/>
        <family val="1"/>
      </rPr>
      <t>(13)</t>
    </r>
  </si>
  <si>
    <r>
      <t xml:space="preserve">storage ($4/bale) </t>
    </r>
    <r>
      <rPr>
        <vertAlign val="superscript"/>
        <sz val="12"/>
        <rFont val="Times New Roman"/>
        <family val="1"/>
      </rPr>
      <t>(13)</t>
    </r>
  </si>
  <si>
    <r>
      <t xml:space="preserve">trucking (farm to processing facility) </t>
    </r>
    <r>
      <rPr>
        <vertAlign val="superscript"/>
        <sz val="12"/>
        <rFont val="Times New Roman"/>
        <family val="1"/>
      </rPr>
      <t>(14)</t>
    </r>
  </si>
  <si>
    <r>
      <t>Switchgrass seed (10 lbs/ac @ $7.50/lb)</t>
    </r>
    <r>
      <rPr>
        <vertAlign val="superscript"/>
        <sz val="12"/>
        <rFont val="Times New Roman"/>
        <family val="1"/>
      </rPr>
      <t>(4)</t>
    </r>
    <r>
      <rPr>
        <sz val="12"/>
        <rFont val="Times New Roman"/>
        <family val="1"/>
      </rPr>
      <t xml:space="preserve"> </t>
    </r>
  </si>
  <si>
    <r>
      <t xml:space="preserve">turning/raking </t>
    </r>
    <r>
      <rPr>
        <vertAlign val="superscript"/>
        <sz val="12"/>
        <rFont val="Times New Roman"/>
        <family val="1"/>
      </rPr>
      <t>(3)</t>
    </r>
  </si>
  <si>
    <r>
      <t>Harvest and trucking costs (spring wheat grain)</t>
    </r>
    <r>
      <rPr>
        <vertAlign val="superscript"/>
        <sz val="12"/>
        <rFont val="Times New Roman"/>
        <family val="1"/>
      </rPr>
      <t xml:space="preserve"> (3)</t>
    </r>
  </si>
  <si>
    <t>annual broadleaf herbicide</t>
  </si>
  <si>
    <r>
      <t xml:space="preserve">Per Acre costs @ 4 tonne/acre (4.4 ton/acre) </t>
    </r>
    <r>
      <rPr>
        <vertAlign val="superscript"/>
        <sz val="12"/>
        <rFont val="Times New Roman"/>
        <family val="1"/>
      </rPr>
      <t>(11)</t>
    </r>
  </si>
  <si>
    <t>Establishment failure rate is used to account for unsuccessful establishment 1 time out of 10. In southern Ontario there is limited risk of a switchgrass stand failure when planted on cropland. On marginal lands and in northern zones switchgrass stand failure rates of up to 20% may be experienced.</t>
  </si>
  <si>
    <t>Total Establishment Year Costs</t>
  </si>
  <si>
    <t>Total Establishment Year Costs (less spring wheat revenue)</t>
  </si>
  <si>
    <t>No herbicides are currently registered for use on switchgrass in Ontario. Product registration of herbicides will be required before commercial use. Research is currently being done by the University of Guelph. Recommended products, rates and costs will depend on research results. Minor use submissions for Buctril M and Aatrex herbicides are under review. Additional herbicides solutions have been prioritized by OMAFRA for future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</si>
</sst>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2"/>
      <name val="Times New Roman"/>
      <family val="1"/>
    </font>
    <font>
      <b/>
      <sz val="12"/>
      <name val="Times New Roman"/>
      <family val="1"/>
    </font>
    <font>
      <b/>
      <u/>
      <sz val="12"/>
      <name val="Times New Roman"/>
      <family val="1"/>
    </font>
    <font>
      <b/>
      <vertAlign val="superscript"/>
      <sz val="12"/>
      <name val="Times New Roman"/>
      <family val="1"/>
    </font>
    <font>
      <vertAlign val="superscript"/>
      <sz val="12"/>
      <name val="Times New Roman"/>
      <family val="1"/>
    </font>
    <font>
      <b/>
      <sz val="14"/>
      <name val="Times New Roman"/>
      <family val="1"/>
    </font>
    <font>
      <b/>
      <sz val="16"/>
      <name val="Times New Roman"/>
      <family val="1"/>
    </font>
    <font>
      <b/>
      <sz val="12"/>
      <name val="Arial"/>
      <family val="2"/>
    </font>
    <font>
      <sz val="9"/>
      <color indexed="81"/>
      <name val="Tahoma"/>
      <family val="2"/>
    </font>
    <font>
      <b/>
      <sz val="9"/>
      <color indexed="81"/>
      <name val="Tahoma"/>
      <family val="2"/>
    </font>
    <font>
      <sz val="12"/>
      <name val="Arial"/>
      <family val="2"/>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s>
  <cellStyleXfs count="1">
    <xf numFmtId="0" fontId="0" fillId="0" borderId="0"/>
  </cellStyleXfs>
  <cellXfs count="32">
    <xf numFmtId="0" fontId="0" fillId="0" borderId="0" xfId="0"/>
    <xf numFmtId="2" fontId="0" fillId="0" borderId="0" xfId="0" applyNumberFormat="1"/>
    <xf numFmtId="0" fontId="1" fillId="2" borderId="1" xfId="0" applyFont="1" applyFill="1" applyBorder="1" applyAlignment="1">
      <alignment vertical="top" wrapText="1"/>
    </xf>
    <xf numFmtId="2" fontId="3" fillId="2" borderId="2" xfId="0" applyNumberFormat="1" applyFont="1" applyFill="1" applyBorder="1" applyAlignment="1">
      <alignment horizontal="right" vertical="top" wrapText="1"/>
    </xf>
    <xf numFmtId="0" fontId="2" fillId="2" borderId="3" xfId="0" applyFont="1" applyFill="1" applyBorder="1" applyAlignment="1">
      <alignment vertical="top" wrapText="1"/>
    </xf>
    <xf numFmtId="1" fontId="2" fillId="2" borderId="4" xfId="0" applyNumberFormat="1" applyFont="1" applyFill="1" applyBorder="1" applyAlignment="1">
      <alignment horizontal="center" vertical="top" wrapText="1"/>
    </xf>
    <xf numFmtId="1" fontId="2" fillId="2" borderId="5" xfId="0" applyNumberFormat="1" applyFont="1" applyFill="1" applyBorder="1" applyAlignment="1">
      <alignment horizontal="center" vertical="top" wrapText="1"/>
    </xf>
    <xf numFmtId="2" fontId="1" fillId="2" borderId="4" xfId="0" applyNumberFormat="1" applyFont="1" applyFill="1" applyBorder="1" applyAlignment="1">
      <alignment horizontal="right" vertical="top" wrapText="1"/>
    </xf>
    <xf numFmtId="2" fontId="1" fillId="2" borderId="5" xfId="0" applyNumberFormat="1" applyFont="1" applyFill="1" applyBorder="1" applyAlignment="1">
      <alignment horizontal="right" vertical="top" wrapText="1"/>
    </xf>
    <xf numFmtId="0" fontId="2" fillId="2" borderId="3" xfId="0" applyFont="1" applyFill="1" applyBorder="1" applyAlignment="1">
      <alignment horizontal="left" vertical="top" wrapText="1" indent="1"/>
    </xf>
    <xf numFmtId="0" fontId="1" fillId="2" borderId="3" xfId="0" applyFont="1" applyFill="1" applyBorder="1" applyAlignment="1">
      <alignment horizontal="left" vertical="top" wrapText="1" indent="1"/>
    </xf>
    <xf numFmtId="0" fontId="1" fillId="2" borderId="3" xfId="0" applyFont="1" applyFill="1" applyBorder="1" applyAlignment="1">
      <alignment vertical="top" wrapText="1"/>
    </xf>
    <xf numFmtId="2" fontId="1" fillId="2" borderId="4" xfId="0" applyNumberFormat="1" applyFont="1" applyFill="1" applyBorder="1"/>
    <xf numFmtId="2" fontId="2" fillId="2" borderId="4" xfId="0" applyNumberFormat="1" applyFont="1" applyFill="1" applyBorder="1" applyAlignment="1">
      <alignment horizontal="right" vertical="top" wrapText="1"/>
    </xf>
    <xf numFmtId="2" fontId="2" fillId="2" borderId="5" xfId="0" applyNumberFormat="1" applyFont="1" applyFill="1" applyBorder="1" applyAlignment="1">
      <alignment horizontal="right" vertical="top" wrapText="1"/>
    </xf>
    <xf numFmtId="2" fontId="3" fillId="2" borderId="4" xfId="0" applyNumberFormat="1" applyFont="1" applyFill="1" applyBorder="1" applyAlignment="1">
      <alignment horizontal="right" vertical="top" wrapText="1"/>
    </xf>
    <xf numFmtId="2" fontId="1" fillId="2" borderId="6" xfId="0" applyNumberFormat="1" applyFont="1" applyFill="1" applyBorder="1" applyAlignment="1">
      <alignment horizontal="right" vertical="top" wrapText="1"/>
    </xf>
    <xf numFmtId="0" fontId="2" fillId="2" borderId="3" xfId="0" applyFont="1" applyFill="1" applyBorder="1" applyAlignment="1">
      <alignment horizontal="left" vertical="top" wrapText="1" indent="4"/>
    </xf>
    <xf numFmtId="0" fontId="8" fillId="2" borderId="7" xfId="0" applyFont="1" applyFill="1" applyBorder="1" applyAlignment="1">
      <alignment horizontal="center" vertical="center"/>
    </xf>
    <xf numFmtId="0" fontId="8" fillId="2" borderId="6" xfId="0" applyFont="1" applyFill="1" applyBorder="1" applyAlignment="1">
      <alignment horizontal="center" vertical="center"/>
    </xf>
    <xf numFmtId="0" fontId="1" fillId="2" borderId="8" xfId="0" applyFont="1" applyFill="1" applyBorder="1" applyAlignment="1">
      <alignment vertical="top" wrapText="1"/>
    </xf>
    <xf numFmtId="0" fontId="0" fillId="2" borderId="1" xfId="0" applyFill="1" applyBorder="1"/>
    <xf numFmtId="1" fontId="7" fillId="2" borderId="2" xfId="0" applyNumberFormat="1" applyFont="1" applyFill="1" applyBorder="1" applyAlignment="1">
      <alignment horizontal="center" vertical="top" wrapText="1"/>
    </xf>
    <xf numFmtId="1" fontId="7" fillId="2" borderId="9" xfId="0" applyNumberFormat="1" applyFont="1" applyFill="1" applyBorder="1" applyAlignment="1">
      <alignment horizontal="center" vertical="top" wrapText="1"/>
    </xf>
    <xf numFmtId="0" fontId="6" fillId="2" borderId="8" xfId="0" applyFont="1" applyFill="1" applyBorder="1" applyAlignment="1">
      <alignment wrapText="1"/>
    </xf>
    <xf numFmtId="0" fontId="6" fillId="2" borderId="8" xfId="0" applyFont="1" applyFill="1" applyBorder="1"/>
    <xf numFmtId="0" fontId="2" fillId="2" borderId="10" xfId="0" applyFont="1" applyFill="1" applyBorder="1" applyAlignment="1">
      <alignment horizontal="left" vertical="top" wrapText="1" indent="4"/>
    </xf>
    <xf numFmtId="2" fontId="2" fillId="2" borderId="11" xfId="0" applyNumberFormat="1" applyFont="1" applyFill="1" applyBorder="1" applyAlignment="1">
      <alignment horizontal="right" vertical="top" wrapText="1"/>
    </xf>
    <xf numFmtId="0" fontId="11" fillId="0" borderId="0" xfId="0" applyFont="1"/>
    <xf numFmtId="0" fontId="8" fillId="0" borderId="0" xfId="0" applyFont="1" applyAlignment="1">
      <alignment wrapText="1"/>
    </xf>
    <xf numFmtId="0" fontId="11" fillId="0" borderId="0" xfId="0" applyFont="1" applyAlignment="1">
      <alignment wrapText="1"/>
    </xf>
    <xf numFmtId="0" fontId="11" fillId="0" borderId="0" xfId="0" applyFont="1" applyAlignment="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22"/>
  <sheetViews>
    <sheetView tabSelected="1" zoomScaleNormal="100" workbookViewId="0">
      <selection activeCell="B6" sqref="B6"/>
    </sheetView>
  </sheetViews>
  <sheetFormatPr defaultColWidth="11.42578125" defaultRowHeight="15" x14ac:dyDescent="0.2"/>
  <cols>
    <col min="1" max="1" width="3.85546875" style="28" bestFit="1" customWidth="1"/>
    <col min="2" max="2" width="103" style="28" customWidth="1"/>
    <col min="3" max="16384" width="11.42578125" style="28"/>
  </cols>
  <sheetData>
    <row r="2" spans="1:2" ht="15.75" x14ac:dyDescent="0.25">
      <c r="B2" s="29" t="s">
        <v>30</v>
      </c>
    </row>
    <row r="3" spans="1:2" x14ac:dyDescent="0.2">
      <c r="B3" s="30"/>
    </row>
    <row r="4" spans="1:2" ht="90" x14ac:dyDescent="0.2">
      <c r="B4" s="30" t="s">
        <v>31</v>
      </c>
    </row>
    <row r="5" spans="1:2" x14ac:dyDescent="0.2">
      <c r="B5" s="30"/>
    </row>
    <row r="6" spans="1:2" ht="45" x14ac:dyDescent="0.2">
      <c r="A6" s="31">
        <v>1</v>
      </c>
      <c r="B6" s="30" t="s">
        <v>59</v>
      </c>
    </row>
    <row r="7" spans="1:2" ht="30" x14ac:dyDescent="0.2">
      <c r="A7" s="31">
        <v>2</v>
      </c>
      <c r="B7" s="30" t="s">
        <v>51</v>
      </c>
    </row>
    <row r="8" spans="1:2" ht="30" x14ac:dyDescent="0.2">
      <c r="A8" s="31">
        <v>3</v>
      </c>
      <c r="B8" s="30" t="s">
        <v>32</v>
      </c>
    </row>
    <row r="9" spans="1:2" ht="30" x14ac:dyDescent="0.2">
      <c r="A9" s="31">
        <v>4</v>
      </c>
      <c r="B9" s="30" t="s">
        <v>33</v>
      </c>
    </row>
    <row r="10" spans="1:2" ht="75" x14ac:dyDescent="0.2">
      <c r="A10" s="31">
        <v>5</v>
      </c>
      <c r="B10" s="30" t="s">
        <v>77</v>
      </c>
    </row>
    <row r="11" spans="1:2" ht="60" x14ac:dyDescent="0.2">
      <c r="A11" s="31">
        <v>6</v>
      </c>
      <c r="B11" s="30" t="s">
        <v>62</v>
      </c>
    </row>
    <row r="12" spans="1:2" ht="60" x14ac:dyDescent="0.2">
      <c r="A12" s="31">
        <v>7</v>
      </c>
      <c r="B12" s="30" t="s">
        <v>74</v>
      </c>
    </row>
    <row r="13" spans="1:2" ht="45" x14ac:dyDescent="0.2">
      <c r="A13" s="31">
        <v>8</v>
      </c>
      <c r="B13" s="30" t="s">
        <v>34</v>
      </c>
    </row>
    <row r="14" spans="1:2" ht="41.25" customHeight="1" x14ac:dyDescent="0.2">
      <c r="A14" s="31">
        <v>9</v>
      </c>
      <c r="B14" s="30" t="s">
        <v>48</v>
      </c>
    </row>
    <row r="15" spans="1:2" x14ac:dyDescent="0.2">
      <c r="A15" s="31">
        <v>10</v>
      </c>
      <c r="B15" s="30" t="s">
        <v>35</v>
      </c>
    </row>
    <row r="16" spans="1:2" ht="120" x14ac:dyDescent="0.2">
      <c r="A16" s="31">
        <v>11</v>
      </c>
      <c r="B16" s="30" t="s">
        <v>49</v>
      </c>
    </row>
    <row r="17" spans="1:2" ht="30" x14ac:dyDescent="0.2">
      <c r="A17" s="31">
        <v>12</v>
      </c>
      <c r="B17" s="30" t="s">
        <v>50</v>
      </c>
    </row>
    <row r="18" spans="1:2" ht="30" x14ac:dyDescent="0.2">
      <c r="A18" s="31">
        <v>13</v>
      </c>
      <c r="B18" s="30" t="s">
        <v>36</v>
      </c>
    </row>
    <row r="19" spans="1:2" ht="30" x14ac:dyDescent="0.2">
      <c r="A19" s="31">
        <v>14</v>
      </c>
      <c r="B19" s="30" t="s">
        <v>37</v>
      </c>
    </row>
    <row r="20" spans="1:2" ht="45" x14ac:dyDescent="0.2">
      <c r="A20" s="31">
        <v>15</v>
      </c>
      <c r="B20" s="30" t="s">
        <v>38</v>
      </c>
    </row>
    <row r="21" spans="1:2" x14ac:dyDescent="0.2">
      <c r="B21" s="30"/>
    </row>
    <row r="22" spans="1:2" x14ac:dyDescent="0.2">
      <c r="B22" s="30"/>
    </row>
  </sheetData>
  <pageMargins left="0.75" right="0.75" top="1" bottom="1" header="0.5" footer="0.5"/>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zoomScaleNormal="100" workbookViewId="0">
      <pane xSplit="1" ySplit="2" topLeftCell="B3" activePane="bottomRight" state="frozen"/>
      <selection pane="topRight" activeCell="B1" sqref="B1"/>
      <selection pane="bottomLeft" activeCell="A2" sqref="A2"/>
      <selection pane="bottomRight" activeCell="A4" sqref="A4"/>
    </sheetView>
  </sheetViews>
  <sheetFormatPr defaultColWidth="8.85546875" defaultRowHeight="12.75" x14ac:dyDescent="0.2"/>
  <cols>
    <col min="1" max="1" width="61" customWidth="1"/>
    <col min="2" max="2" width="17.140625" style="1" bestFit="1" customWidth="1"/>
    <col min="3" max="3" width="17.28515625" style="1" customWidth="1"/>
  </cols>
  <sheetData>
    <row r="1" spans="1:3" ht="20.25" x14ac:dyDescent="0.2">
      <c r="A1" s="21"/>
      <c r="B1" s="22">
        <v>2015</v>
      </c>
      <c r="C1" s="23">
        <v>2015</v>
      </c>
    </row>
    <row r="2" spans="1:3" ht="19.5" thickBot="1" x14ac:dyDescent="0.35">
      <c r="A2" s="25" t="s">
        <v>15</v>
      </c>
      <c r="B2" s="19" t="s">
        <v>19</v>
      </c>
      <c r="C2" s="18" t="s">
        <v>18</v>
      </c>
    </row>
    <row r="3" spans="1:3" ht="20.100000000000001" customHeight="1" x14ac:dyDescent="0.2">
      <c r="A3" s="2"/>
      <c r="B3" s="3" t="s">
        <v>0</v>
      </c>
      <c r="C3" s="3" t="s">
        <v>0</v>
      </c>
    </row>
    <row r="4" spans="1:3" ht="20.100000000000001" customHeight="1" x14ac:dyDescent="0.2">
      <c r="A4" s="4" t="s">
        <v>1</v>
      </c>
      <c r="B4" s="5"/>
      <c r="C4" s="6"/>
    </row>
    <row r="5" spans="1:3" ht="20.100000000000001" customHeight="1" x14ac:dyDescent="0.2">
      <c r="A5" s="9" t="s">
        <v>17</v>
      </c>
      <c r="B5" s="7"/>
      <c r="C5" s="8"/>
    </row>
    <row r="6" spans="1:3" ht="18.75" x14ac:dyDescent="0.2">
      <c r="A6" s="10" t="s">
        <v>52</v>
      </c>
      <c r="B6" s="7">
        <v>17</v>
      </c>
      <c r="C6" s="8"/>
    </row>
    <row r="7" spans="1:3" ht="20.100000000000001" customHeight="1" x14ac:dyDescent="0.2">
      <c r="A7" s="9" t="s">
        <v>16</v>
      </c>
      <c r="B7" s="7"/>
      <c r="C7" s="8"/>
    </row>
    <row r="8" spans="1:3" ht="20.100000000000001" customHeight="1" x14ac:dyDescent="0.2">
      <c r="A8" s="11" t="s">
        <v>2</v>
      </c>
      <c r="B8" s="7"/>
      <c r="C8" s="8"/>
    </row>
    <row r="9" spans="1:3" ht="20.100000000000001" customHeight="1" x14ac:dyDescent="0.2">
      <c r="A9" s="10" t="s">
        <v>53</v>
      </c>
      <c r="B9" s="7">
        <f>13*2</f>
        <v>26</v>
      </c>
      <c r="C9" s="8"/>
    </row>
    <row r="10" spans="1:3" ht="20.100000000000001" customHeight="1" x14ac:dyDescent="0.2">
      <c r="A10" s="10" t="s">
        <v>54</v>
      </c>
      <c r="B10" s="7">
        <v>7</v>
      </c>
      <c r="C10" s="8"/>
    </row>
    <row r="11" spans="1:3" ht="20.100000000000001" customHeight="1" x14ac:dyDescent="0.2">
      <c r="A11" s="11" t="s">
        <v>3</v>
      </c>
      <c r="B11" s="7"/>
      <c r="C11" s="8"/>
    </row>
    <row r="12" spans="1:3" ht="20.100000000000001" customHeight="1" x14ac:dyDescent="0.2">
      <c r="A12" s="11" t="s">
        <v>63</v>
      </c>
      <c r="B12" s="7">
        <v>75</v>
      </c>
      <c r="C12" s="8">
        <f>B12</f>
        <v>75</v>
      </c>
    </row>
    <row r="13" spans="1:3" ht="15.75" x14ac:dyDescent="0.2">
      <c r="A13" s="10" t="s">
        <v>27</v>
      </c>
      <c r="B13" s="7"/>
      <c r="C13" s="8"/>
    </row>
    <row r="14" spans="1:3" ht="18.75" x14ac:dyDescent="0.2">
      <c r="A14" s="10" t="s">
        <v>20</v>
      </c>
      <c r="B14" s="7">
        <v>22</v>
      </c>
      <c r="C14" s="8">
        <v>22</v>
      </c>
    </row>
    <row r="15" spans="1:3" ht="18.75" x14ac:dyDescent="0.2">
      <c r="A15" s="10" t="s">
        <v>55</v>
      </c>
      <c r="B15" s="7">
        <v>7</v>
      </c>
      <c r="C15" s="8">
        <v>7</v>
      </c>
    </row>
    <row r="16" spans="1:3" ht="20.100000000000001" customHeight="1" x14ac:dyDescent="0.2">
      <c r="A16" s="11" t="s">
        <v>4</v>
      </c>
      <c r="B16" s="7"/>
      <c r="C16" s="8"/>
    </row>
    <row r="17" spans="1:3" ht="20.100000000000001" customHeight="1" x14ac:dyDescent="0.2">
      <c r="A17" s="10" t="s">
        <v>5</v>
      </c>
      <c r="B17" s="7">
        <v>10</v>
      </c>
      <c r="C17" s="8">
        <v>10</v>
      </c>
    </row>
    <row r="18" spans="1:3" ht="20.100000000000001" customHeight="1" x14ac:dyDescent="0.2">
      <c r="A18" s="10" t="s">
        <v>21</v>
      </c>
      <c r="B18" s="7"/>
      <c r="C18" s="8"/>
    </row>
    <row r="19" spans="1:3" ht="20.100000000000001" customHeight="1" x14ac:dyDescent="0.2">
      <c r="A19" s="10" t="s">
        <v>6</v>
      </c>
      <c r="B19" s="7"/>
      <c r="C19" s="8"/>
    </row>
    <row r="20" spans="1:3" ht="20.100000000000001" customHeight="1" x14ac:dyDescent="0.2">
      <c r="A20" s="11" t="s">
        <v>72</v>
      </c>
      <c r="B20" s="7"/>
      <c r="C20" s="8"/>
    </row>
    <row r="21" spans="1:3" ht="18.75" x14ac:dyDescent="0.2">
      <c r="A21" s="11" t="s">
        <v>26</v>
      </c>
      <c r="B21" s="7"/>
      <c r="C21" s="8">
        <v>17</v>
      </c>
    </row>
    <row r="22" spans="1:3" ht="20.100000000000001" customHeight="1" x14ac:dyDescent="0.25">
      <c r="A22" s="11" t="s">
        <v>28</v>
      </c>
      <c r="B22" s="12">
        <f>SUM(B5:B21)/2*0.04</f>
        <v>3.2800000000000002</v>
      </c>
      <c r="C22" s="12">
        <f>SUM(C5:C21)/2*0.04</f>
        <v>2.62</v>
      </c>
    </row>
    <row r="23" spans="1:3" ht="20.100000000000001" customHeight="1" x14ac:dyDescent="0.2">
      <c r="A23" s="11" t="s">
        <v>25</v>
      </c>
      <c r="B23" s="7"/>
      <c r="C23" s="8"/>
    </row>
    <row r="24" spans="1:3" ht="20.100000000000001" customHeight="1" x14ac:dyDescent="0.2">
      <c r="A24" s="11" t="s">
        <v>39</v>
      </c>
      <c r="B24" s="7"/>
      <c r="C24" s="7"/>
    </row>
    <row r="25" spans="1:3" ht="20.100000000000001" customHeight="1" x14ac:dyDescent="0.2">
      <c r="A25" s="11"/>
      <c r="B25" s="7"/>
      <c r="C25" s="8"/>
    </row>
    <row r="26" spans="1:3" ht="20.100000000000001" customHeight="1" x14ac:dyDescent="0.2">
      <c r="A26" s="26" t="s">
        <v>75</v>
      </c>
      <c r="B26" s="27">
        <f>MROUND(SUM(B5:B24),0.01)</f>
        <v>167.28</v>
      </c>
      <c r="C26" s="27">
        <f>MROUND(SUM(C5:C24),0.01)</f>
        <v>133.62</v>
      </c>
    </row>
    <row r="27" spans="1:3" ht="20.100000000000001" customHeight="1" x14ac:dyDescent="0.2">
      <c r="A27" s="11"/>
      <c r="B27" s="7"/>
      <c r="C27" s="8"/>
    </row>
    <row r="28" spans="1:3" ht="20.100000000000001" customHeight="1" x14ac:dyDescent="0.2">
      <c r="A28" s="4" t="s">
        <v>7</v>
      </c>
      <c r="B28" s="13" t="s">
        <v>14</v>
      </c>
      <c r="C28" s="13" t="s">
        <v>14</v>
      </c>
    </row>
    <row r="29" spans="1:3" ht="20.100000000000001" customHeight="1" x14ac:dyDescent="0.2">
      <c r="A29" s="11" t="s">
        <v>64</v>
      </c>
      <c r="B29" s="7">
        <f>PMT(0.04,7,-B26)</f>
        <v>27.87045590196827</v>
      </c>
      <c r="C29" s="7">
        <f>PMT(0.04,7,-C26)</f>
        <v>22.262376360718559</v>
      </c>
    </row>
    <row r="30" spans="1:3" ht="20.100000000000001" customHeight="1" x14ac:dyDescent="0.2">
      <c r="A30" s="11" t="s">
        <v>22</v>
      </c>
      <c r="B30" s="7">
        <f>67.5*0.57</f>
        <v>38.474999999999994</v>
      </c>
      <c r="C30" s="7">
        <f>67.5*0.57</f>
        <v>38.474999999999994</v>
      </c>
    </row>
    <row r="31" spans="1:3" ht="18.75" x14ac:dyDescent="0.2">
      <c r="A31" s="11" t="s">
        <v>40</v>
      </c>
      <c r="B31" s="7"/>
      <c r="C31" s="8"/>
    </row>
    <row r="32" spans="1:3" ht="20.100000000000001" customHeight="1" x14ac:dyDescent="0.2">
      <c r="A32" s="11" t="s">
        <v>8</v>
      </c>
      <c r="B32" s="7">
        <v>10</v>
      </c>
      <c r="C32" s="8">
        <v>10</v>
      </c>
    </row>
    <row r="33" spans="1:3" ht="20.100000000000001" customHeight="1" x14ac:dyDescent="0.2">
      <c r="A33" s="11" t="s">
        <v>9</v>
      </c>
      <c r="B33" s="7">
        <v>20</v>
      </c>
      <c r="C33" s="7">
        <v>20</v>
      </c>
    </row>
    <row r="34" spans="1:3" ht="20.100000000000001" customHeight="1" x14ac:dyDescent="0.2">
      <c r="A34" s="11" t="s">
        <v>56</v>
      </c>
      <c r="B34" s="7">
        <v>8</v>
      </c>
      <c r="C34" s="8">
        <v>8</v>
      </c>
    </row>
    <row r="35" spans="1:3" ht="24" customHeight="1" x14ac:dyDescent="0.2">
      <c r="A35" s="11" t="s">
        <v>23</v>
      </c>
      <c r="B35" s="7">
        <f>1.23*8*9.3</f>
        <v>91.512</v>
      </c>
      <c r="C35" s="7">
        <f>1.23*8*9.3</f>
        <v>91.512</v>
      </c>
    </row>
    <row r="36" spans="1:3" ht="20.100000000000001" customHeight="1" x14ac:dyDescent="0.2">
      <c r="A36" s="11" t="s">
        <v>66</v>
      </c>
      <c r="B36" s="7">
        <f>9.3*4.75</f>
        <v>44.175000000000004</v>
      </c>
      <c r="C36" s="7">
        <f>B36</f>
        <v>44.175000000000004</v>
      </c>
    </row>
    <row r="37" spans="1:3" ht="20.100000000000001" customHeight="1" x14ac:dyDescent="0.2">
      <c r="A37" s="11" t="s">
        <v>67</v>
      </c>
      <c r="B37" s="7">
        <f>4*9.3</f>
        <v>37.200000000000003</v>
      </c>
      <c r="C37" s="7">
        <f>4*9.3</f>
        <v>37.200000000000003</v>
      </c>
    </row>
    <row r="38" spans="1:3" ht="20.100000000000001" customHeight="1" x14ac:dyDescent="0.2">
      <c r="A38" s="11" t="s">
        <v>68</v>
      </c>
      <c r="B38" s="7"/>
      <c r="C38" s="8"/>
    </row>
    <row r="39" spans="1:3" ht="20.100000000000001" customHeight="1" x14ac:dyDescent="0.2">
      <c r="A39" s="11" t="s">
        <v>28</v>
      </c>
      <c r="B39" s="7">
        <f>SUM(B30:B38)/2*0.04</f>
        <v>4.9872400000000008</v>
      </c>
      <c r="C39" s="7">
        <f>SUM(C30:C38)/2*0.04</f>
        <v>4.9872400000000008</v>
      </c>
    </row>
    <row r="40" spans="1:3" ht="20.100000000000001" customHeight="1" x14ac:dyDescent="0.2">
      <c r="A40" s="11"/>
      <c r="B40" s="7"/>
      <c r="C40" s="8"/>
    </row>
    <row r="41" spans="1:3" ht="20.100000000000001" customHeight="1" x14ac:dyDescent="0.2">
      <c r="A41" s="17" t="s">
        <v>10</v>
      </c>
      <c r="B41" s="13">
        <f>MROUND(SUM(B29:B40),0.01)</f>
        <v>282.22000000000003</v>
      </c>
      <c r="C41" s="13">
        <f>MROUND(SUM(C29:C40),0.01)</f>
        <v>276.61</v>
      </c>
    </row>
    <row r="42" spans="1:3" ht="20.100000000000001" customHeight="1" x14ac:dyDescent="0.2">
      <c r="A42" s="11"/>
      <c r="B42" s="7"/>
      <c r="C42" s="8"/>
    </row>
    <row r="43" spans="1:3" ht="20.100000000000001" customHeight="1" x14ac:dyDescent="0.2">
      <c r="A43" s="4" t="s">
        <v>45</v>
      </c>
      <c r="B43" s="15" t="s">
        <v>12</v>
      </c>
      <c r="C43" s="15" t="s">
        <v>12</v>
      </c>
    </row>
    <row r="44" spans="1:3" ht="20.100000000000001" customHeight="1" x14ac:dyDescent="0.2">
      <c r="A44" s="11" t="s">
        <v>73</v>
      </c>
      <c r="B44" s="7">
        <f>B41/4</f>
        <v>70.555000000000007</v>
      </c>
      <c r="C44" s="7">
        <f>C41/4</f>
        <v>69.152500000000003</v>
      </c>
    </row>
    <row r="45" spans="1:3" ht="20.100000000000001" customHeight="1" x14ac:dyDescent="0.2">
      <c r="A45" s="11"/>
      <c r="B45" s="7"/>
      <c r="C45" s="7"/>
    </row>
    <row r="46" spans="1:3" ht="20.100000000000001" customHeight="1" x14ac:dyDescent="0.2">
      <c r="A46" s="11"/>
      <c r="B46" s="15" t="s">
        <v>14</v>
      </c>
      <c r="C46" s="15" t="s">
        <v>14</v>
      </c>
    </row>
    <row r="47" spans="1:3" ht="20.100000000000001" customHeight="1" x14ac:dyDescent="0.2">
      <c r="A47" s="11" t="s">
        <v>47</v>
      </c>
      <c r="B47" s="7"/>
      <c r="C47" s="8"/>
    </row>
    <row r="48" spans="1:3" ht="20.100000000000001" customHeight="1" x14ac:dyDescent="0.2">
      <c r="A48" s="11" t="s">
        <v>65</v>
      </c>
      <c r="B48" s="7"/>
      <c r="C48" s="8"/>
    </row>
    <row r="49" spans="1:3" ht="15.75" x14ac:dyDescent="0.2">
      <c r="A49" s="17" t="s">
        <v>61</v>
      </c>
      <c r="B49" s="7" t="str">
        <f>IF(AND(B47="",B48=""),"",SUM(B41,B47:B48))</f>
        <v/>
      </c>
      <c r="C49" s="7" t="str">
        <f>IF(AND(C47="",C48=""),"",SUM(C41,C47:C48))</f>
        <v/>
      </c>
    </row>
    <row r="50" spans="1:3" ht="15.75" x14ac:dyDescent="0.2">
      <c r="A50" s="11"/>
      <c r="B50" s="7"/>
      <c r="C50" s="8"/>
    </row>
    <row r="51" spans="1:3" ht="15.75" x14ac:dyDescent="0.2">
      <c r="A51" s="4" t="s">
        <v>11</v>
      </c>
      <c r="B51" s="15" t="s">
        <v>12</v>
      </c>
      <c r="C51" s="15" t="s">
        <v>12</v>
      </c>
    </row>
    <row r="52" spans="1:3" ht="24.75" customHeight="1" thickBot="1" x14ac:dyDescent="0.25">
      <c r="A52" s="20" t="s">
        <v>73</v>
      </c>
      <c r="B52" s="16" t="str">
        <f>IF(B49="","",B49/4)</f>
        <v/>
      </c>
      <c r="C52" s="16" t="str">
        <f>IF(C49="","",C49/4)</f>
        <v/>
      </c>
    </row>
  </sheetData>
  <printOptions horizontalCentered="1"/>
  <pageMargins left="0.74803149606299213" right="0.74803149606299213" top="0.98425196850393704" bottom="0.98425196850393704" header="0.51181102362204722" footer="0.51181102362204722"/>
  <pageSetup scale="64"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zoomScaleNormal="100" workbookViewId="0">
      <pane xSplit="1" ySplit="2" topLeftCell="B3" activePane="bottomRight" state="frozen"/>
      <selection pane="topRight" activeCell="B1" sqref="B1"/>
      <selection pane="bottomLeft" activeCell="A2" sqref="A2"/>
      <selection pane="bottomRight" activeCell="A7" sqref="A7"/>
    </sheetView>
  </sheetViews>
  <sheetFormatPr defaultColWidth="8.85546875" defaultRowHeight="12.75" x14ac:dyDescent="0.2"/>
  <cols>
    <col min="1" max="1" width="61" customWidth="1"/>
    <col min="2" max="2" width="16" style="1" bestFit="1" customWidth="1"/>
    <col min="3" max="3" width="17.42578125" style="1" customWidth="1"/>
  </cols>
  <sheetData>
    <row r="1" spans="1:3" ht="20.25" x14ac:dyDescent="0.2">
      <c r="A1" s="21"/>
      <c r="B1" s="22">
        <v>2015</v>
      </c>
      <c r="C1" s="23">
        <v>2015</v>
      </c>
    </row>
    <row r="2" spans="1:3" ht="38.25" thickBot="1" x14ac:dyDescent="0.35">
      <c r="A2" s="24" t="s">
        <v>58</v>
      </c>
      <c r="B2" s="19" t="s">
        <v>19</v>
      </c>
      <c r="C2" s="18" t="s">
        <v>18</v>
      </c>
    </row>
    <row r="3" spans="1:3" ht="20.100000000000001" customHeight="1" x14ac:dyDescent="0.2">
      <c r="A3" s="2"/>
      <c r="B3" s="3" t="s">
        <v>0</v>
      </c>
      <c r="C3" s="3" t="s">
        <v>0</v>
      </c>
    </row>
    <row r="4" spans="1:3" ht="20.100000000000001" customHeight="1" x14ac:dyDescent="0.2">
      <c r="A4" s="4" t="s">
        <v>1</v>
      </c>
      <c r="B4" s="5"/>
      <c r="C4" s="6"/>
    </row>
    <row r="5" spans="1:3" ht="20.100000000000001" customHeight="1" x14ac:dyDescent="0.2">
      <c r="A5" s="9" t="s">
        <v>17</v>
      </c>
      <c r="B5" s="7"/>
      <c r="C5" s="8"/>
    </row>
    <row r="6" spans="1:3" ht="18.75" x14ac:dyDescent="0.2">
      <c r="A6" s="10" t="s">
        <v>52</v>
      </c>
      <c r="B6" s="7">
        <v>17</v>
      </c>
      <c r="C6" s="8"/>
    </row>
    <row r="7" spans="1:3" ht="20.100000000000001" customHeight="1" x14ac:dyDescent="0.2">
      <c r="A7" s="9" t="s">
        <v>16</v>
      </c>
      <c r="B7" s="7"/>
      <c r="C7" s="8"/>
    </row>
    <row r="8" spans="1:3" ht="20.100000000000001" customHeight="1" x14ac:dyDescent="0.2">
      <c r="A8" s="11" t="s">
        <v>2</v>
      </c>
      <c r="B8" s="7"/>
      <c r="C8" s="8"/>
    </row>
    <row r="9" spans="1:3" ht="20.100000000000001" customHeight="1" x14ac:dyDescent="0.2">
      <c r="A9" s="10" t="s">
        <v>53</v>
      </c>
      <c r="B9" s="7">
        <f>13*2</f>
        <v>26</v>
      </c>
      <c r="C9" s="8"/>
    </row>
    <row r="10" spans="1:3" ht="20.100000000000001" customHeight="1" x14ac:dyDescent="0.2">
      <c r="A10" s="10" t="s">
        <v>54</v>
      </c>
      <c r="B10" s="7">
        <v>7</v>
      </c>
      <c r="C10" s="8"/>
    </row>
    <row r="11" spans="1:3" ht="20.100000000000001" customHeight="1" x14ac:dyDescent="0.2">
      <c r="A11" s="11" t="s">
        <v>3</v>
      </c>
      <c r="B11" s="7"/>
      <c r="C11" s="8"/>
    </row>
    <row r="12" spans="1:3" ht="20.100000000000001" customHeight="1" x14ac:dyDescent="0.2">
      <c r="A12" s="11" t="s">
        <v>69</v>
      </c>
      <c r="B12" s="7">
        <v>75</v>
      </c>
      <c r="C12" s="8">
        <f>B12</f>
        <v>75</v>
      </c>
    </row>
    <row r="13" spans="1:3" ht="20.100000000000001" customHeight="1" x14ac:dyDescent="0.2">
      <c r="A13" s="11" t="s">
        <v>42</v>
      </c>
      <c r="B13" s="7">
        <v>67.599999999999994</v>
      </c>
      <c r="C13" s="8">
        <v>67.599999999999994</v>
      </c>
    </row>
    <row r="14" spans="1:3" ht="15.75" x14ac:dyDescent="0.2">
      <c r="A14" s="10" t="s">
        <v>27</v>
      </c>
      <c r="B14" s="7">
        <v>73.55</v>
      </c>
      <c r="C14" s="8">
        <v>73.55</v>
      </c>
    </row>
    <row r="15" spans="1:3" ht="18.75" x14ac:dyDescent="0.2">
      <c r="A15" s="10" t="s">
        <v>20</v>
      </c>
      <c r="B15" s="7">
        <v>22</v>
      </c>
      <c r="C15" s="8">
        <v>22</v>
      </c>
    </row>
    <row r="16" spans="1:3" ht="18.75" x14ac:dyDescent="0.2">
      <c r="A16" s="10" t="s">
        <v>54</v>
      </c>
      <c r="B16" s="7">
        <v>7</v>
      </c>
      <c r="C16" s="8">
        <v>7</v>
      </c>
    </row>
    <row r="17" spans="1:3" ht="20.100000000000001" customHeight="1" x14ac:dyDescent="0.2">
      <c r="A17" s="11" t="s">
        <v>4</v>
      </c>
      <c r="B17" s="7"/>
      <c r="C17" s="8"/>
    </row>
    <row r="18" spans="1:3" ht="20.100000000000001" customHeight="1" x14ac:dyDescent="0.2">
      <c r="A18" s="10" t="s">
        <v>5</v>
      </c>
      <c r="B18" s="7">
        <v>10</v>
      </c>
      <c r="C18" s="8">
        <v>10</v>
      </c>
    </row>
    <row r="19" spans="1:3" ht="20.100000000000001" customHeight="1" x14ac:dyDescent="0.2">
      <c r="A19" s="10" t="s">
        <v>43</v>
      </c>
      <c r="B19" s="7"/>
      <c r="C19" s="8"/>
    </row>
    <row r="20" spans="1:3" ht="20.100000000000001" customHeight="1" x14ac:dyDescent="0.2">
      <c r="A20" s="10" t="s">
        <v>6</v>
      </c>
      <c r="B20" s="7"/>
      <c r="C20" s="8"/>
    </row>
    <row r="21" spans="1:3" ht="20.100000000000001" customHeight="1" x14ac:dyDescent="0.2">
      <c r="A21" s="10" t="s">
        <v>29</v>
      </c>
      <c r="B21" s="7">
        <f>18.5*0.4</f>
        <v>7.4</v>
      </c>
      <c r="C21" s="8">
        <f>B21</f>
        <v>7.4</v>
      </c>
    </row>
    <row r="22" spans="1:3" ht="18.75" x14ac:dyDescent="0.2">
      <c r="A22" s="11" t="s">
        <v>26</v>
      </c>
      <c r="B22" s="7"/>
      <c r="C22" s="8"/>
    </row>
    <row r="23" spans="1:3" ht="20.100000000000001" customHeight="1" x14ac:dyDescent="0.25">
      <c r="A23" s="11" t="s">
        <v>71</v>
      </c>
      <c r="B23" s="12">
        <v>50</v>
      </c>
      <c r="C23" s="7">
        <v>50</v>
      </c>
    </row>
    <row r="24" spans="1:3" ht="20.100000000000001" customHeight="1" x14ac:dyDescent="0.25">
      <c r="A24" s="11" t="s">
        <v>28</v>
      </c>
      <c r="B24" s="12">
        <f>SUM(B5:B22)/2*0.04</f>
        <v>6.2509999999999994</v>
      </c>
      <c r="C24" s="12">
        <f>SUM(C5:C22)/2*0.04</f>
        <v>5.2509999999999994</v>
      </c>
    </row>
    <row r="25" spans="1:3" ht="20.100000000000001" customHeight="1" x14ac:dyDescent="0.2">
      <c r="A25" s="11" t="s">
        <v>25</v>
      </c>
      <c r="B25" s="7"/>
      <c r="C25" s="8"/>
    </row>
    <row r="26" spans="1:3" ht="20.100000000000001" customHeight="1" x14ac:dyDescent="0.25">
      <c r="A26" s="11" t="s">
        <v>39</v>
      </c>
      <c r="B26" s="12"/>
      <c r="C26" s="7"/>
    </row>
    <row r="27" spans="1:3" ht="20.100000000000001" customHeight="1" x14ac:dyDescent="0.2">
      <c r="A27" s="11"/>
      <c r="B27" s="7"/>
      <c r="C27" s="8"/>
    </row>
    <row r="28" spans="1:3" ht="20.100000000000001" customHeight="1" x14ac:dyDescent="0.2">
      <c r="A28" s="17" t="s">
        <v>75</v>
      </c>
      <c r="B28" s="13">
        <f>SUM(B5:B26)</f>
        <v>368.80099999999993</v>
      </c>
      <c r="C28" s="13">
        <f>SUM(C5:C26)</f>
        <v>317.80099999999993</v>
      </c>
    </row>
    <row r="29" spans="1:3" ht="20.100000000000001" customHeight="1" x14ac:dyDescent="0.25">
      <c r="A29" s="11" t="s">
        <v>57</v>
      </c>
      <c r="B29" s="12">
        <f>49*6.5</f>
        <v>318.5</v>
      </c>
      <c r="C29" s="12">
        <f>49*6.5</f>
        <v>318.5</v>
      </c>
    </row>
    <row r="30" spans="1:3" ht="20.100000000000001" customHeight="1" x14ac:dyDescent="0.25">
      <c r="A30" s="11"/>
      <c r="B30" s="12"/>
      <c r="C30" s="12"/>
    </row>
    <row r="31" spans="1:3" ht="31.5" x14ac:dyDescent="0.2">
      <c r="A31" s="26" t="s">
        <v>76</v>
      </c>
      <c r="B31" s="27">
        <f>IF(B28-B29&gt;0,B28-B29,0)</f>
        <v>50.300999999999931</v>
      </c>
      <c r="C31" s="27">
        <f>IF(C28-C29&gt;0,C28-C29,0)</f>
        <v>0</v>
      </c>
    </row>
    <row r="32" spans="1:3" ht="20.100000000000001" customHeight="1" x14ac:dyDescent="0.2">
      <c r="A32" s="11"/>
      <c r="B32" s="7"/>
      <c r="C32" s="8"/>
    </row>
    <row r="33" spans="1:3" ht="20.100000000000001" customHeight="1" x14ac:dyDescent="0.2">
      <c r="A33" s="4" t="s">
        <v>7</v>
      </c>
      <c r="B33" s="13" t="s">
        <v>14</v>
      </c>
      <c r="C33" s="14"/>
    </row>
    <row r="34" spans="1:3" ht="20.100000000000001" customHeight="1" x14ac:dyDescent="0.2">
      <c r="A34" s="11" t="s">
        <v>64</v>
      </c>
      <c r="B34" s="7">
        <f>PMT(0.04,7,-B31)</f>
        <v>8.3806300951990913</v>
      </c>
      <c r="C34" s="7">
        <f>PMT(0.04,7,-C31)</f>
        <v>0</v>
      </c>
    </row>
    <row r="35" spans="1:3" ht="20.100000000000001" customHeight="1" x14ac:dyDescent="0.2">
      <c r="A35" s="11" t="s">
        <v>22</v>
      </c>
      <c r="B35" s="7">
        <f>67.5*0.57</f>
        <v>38.474999999999994</v>
      </c>
      <c r="C35" s="7">
        <f>67.5*0.57</f>
        <v>38.474999999999994</v>
      </c>
    </row>
    <row r="36" spans="1:3" ht="18.75" x14ac:dyDescent="0.2">
      <c r="A36" s="11" t="s">
        <v>40</v>
      </c>
      <c r="B36" s="7"/>
      <c r="C36" s="8"/>
    </row>
    <row r="37" spans="1:3" ht="20.100000000000001" customHeight="1" x14ac:dyDescent="0.2">
      <c r="A37" s="11" t="s">
        <v>8</v>
      </c>
      <c r="B37" s="7">
        <v>10</v>
      </c>
      <c r="C37" s="8">
        <v>10</v>
      </c>
    </row>
    <row r="38" spans="1:3" ht="20.100000000000001" customHeight="1" x14ac:dyDescent="0.2">
      <c r="A38" s="11" t="s">
        <v>9</v>
      </c>
      <c r="B38" s="7">
        <v>20</v>
      </c>
      <c r="C38" s="7">
        <v>20</v>
      </c>
    </row>
    <row r="39" spans="1:3" ht="20.100000000000001" customHeight="1" x14ac:dyDescent="0.2">
      <c r="A39" s="11" t="s">
        <v>70</v>
      </c>
      <c r="B39" s="7">
        <v>8</v>
      </c>
      <c r="C39" s="8">
        <v>8</v>
      </c>
    </row>
    <row r="40" spans="1:3" ht="24" customHeight="1" x14ac:dyDescent="0.2">
      <c r="A40" s="11" t="s">
        <v>23</v>
      </c>
      <c r="B40" s="7">
        <f>1.23*8*9.3</f>
        <v>91.512</v>
      </c>
      <c r="C40" s="7">
        <f>1.23*8*9.3</f>
        <v>91.512</v>
      </c>
    </row>
    <row r="41" spans="1:3" ht="20.100000000000001" customHeight="1" x14ac:dyDescent="0.2">
      <c r="A41" s="11" t="s">
        <v>41</v>
      </c>
      <c r="B41" s="7">
        <f>9.3*4.75</f>
        <v>44.175000000000004</v>
      </c>
      <c r="C41" s="7">
        <f>B41</f>
        <v>44.175000000000004</v>
      </c>
    </row>
    <row r="42" spans="1:3" ht="20.100000000000001" customHeight="1" x14ac:dyDescent="0.2">
      <c r="A42" s="11" t="s">
        <v>24</v>
      </c>
      <c r="B42" s="7">
        <f>4*9.3</f>
        <v>37.200000000000003</v>
      </c>
      <c r="C42" s="7">
        <f>4*9.3</f>
        <v>37.200000000000003</v>
      </c>
    </row>
    <row r="43" spans="1:3" ht="20.100000000000001" customHeight="1" x14ac:dyDescent="0.2">
      <c r="A43" s="11" t="s">
        <v>13</v>
      </c>
      <c r="B43" s="7"/>
      <c r="C43" s="8"/>
    </row>
    <row r="44" spans="1:3" ht="20.100000000000001" customHeight="1" x14ac:dyDescent="0.2">
      <c r="A44" s="11" t="s">
        <v>28</v>
      </c>
      <c r="B44" s="7">
        <f>SUM(B35:B43)/2*0.04</f>
        <v>4.9872400000000008</v>
      </c>
      <c r="C44" s="7">
        <f>SUM(C35:C43)/2*0.04</f>
        <v>4.9872400000000008</v>
      </c>
    </row>
    <row r="45" spans="1:3" ht="20.100000000000001" customHeight="1" x14ac:dyDescent="0.2">
      <c r="A45" s="17" t="s">
        <v>44</v>
      </c>
      <c r="B45" s="13">
        <f>MROUND(SUM(B34:B44),0.01)</f>
        <v>262.73</v>
      </c>
      <c r="C45" s="13">
        <f>MROUND(SUM(C34:C44),0.01)</f>
        <v>254.35</v>
      </c>
    </row>
    <row r="46" spans="1:3" ht="20.100000000000001" customHeight="1" x14ac:dyDescent="0.2">
      <c r="A46" s="11"/>
      <c r="B46" s="7"/>
      <c r="C46" s="8"/>
    </row>
    <row r="47" spans="1:3" ht="20.100000000000001" customHeight="1" x14ac:dyDescent="0.2">
      <c r="A47" s="4" t="s">
        <v>60</v>
      </c>
      <c r="B47" s="15" t="s">
        <v>12</v>
      </c>
      <c r="C47" s="15" t="s">
        <v>12</v>
      </c>
    </row>
    <row r="48" spans="1:3" ht="20.100000000000001" customHeight="1" x14ac:dyDescent="0.2">
      <c r="A48" s="11" t="s">
        <v>73</v>
      </c>
      <c r="B48" s="7">
        <f>B45/4</f>
        <v>65.682500000000005</v>
      </c>
      <c r="C48" s="7">
        <f>C45/4</f>
        <v>63.587499999999999</v>
      </c>
    </row>
    <row r="49" spans="1:3" ht="20.100000000000001" customHeight="1" x14ac:dyDescent="0.2">
      <c r="A49" s="11"/>
      <c r="B49" s="7"/>
      <c r="C49" s="7"/>
    </row>
    <row r="50" spans="1:3" ht="20.100000000000001" customHeight="1" x14ac:dyDescent="0.2">
      <c r="A50" s="11"/>
      <c r="B50" s="13" t="s">
        <v>46</v>
      </c>
      <c r="C50" s="13" t="s">
        <v>46</v>
      </c>
    </row>
    <row r="51" spans="1:3" ht="20.100000000000001" customHeight="1" x14ac:dyDescent="0.2">
      <c r="A51" s="11" t="s">
        <v>47</v>
      </c>
      <c r="B51" s="7"/>
      <c r="C51" s="8"/>
    </row>
    <row r="52" spans="1:3" ht="20.100000000000001" customHeight="1" x14ac:dyDescent="0.2">
      <c r="A52" s="11" t="s">
        <v>65</v>
      </c>
      <c r="B52" s="7"/>
      <c r="C52" s="8"/>
    </row>
    <row r="53" spans="1:3" ht="20.100000000000001" customHeight="1" x14ac:dyDescent="0.2">
      <c r="A53" s="17" t="s">
        <v>61</v>
      </c>
      <c r="B53" s="7" t="str">
        <f>IF(AND(B51="",B52=""),"",SUM(B45,B51:B52))</f>
        <v/>
      </c>
      <c r="C53" s="7" t="str">
        <f>IF(AND(C51="",C52=""),"",SUM(C45,C51:C52))</f>
        <v/>
      </c>
    </row>
    <row r="54" spans="1:3" ht="20.100000000000001" customHeight="1" x14ac:dyDescent="0.2">
      <c r="A54" s="11"/>
      <c r="B54" s="7"/>
      <c r="C54" s="8"/>
    </row>
    <row r="55" spans="1:3" ht="20.100000000000001" customHeight="1" x14ac:dyDescent="0.2">
      <c r="A55" s="4" t="s">
        <v>11</v>
      </c>
      <c r="B55" s="15" t="s">
        <v>12</v>
      </c>
      <c r="C55" s="15" t="s">
        <v>12</v>
      </c>
    </row>
    <row r="56" spans="1:3" ht="20.100000000000001" customHeight="1" thickBot="1" x14ac:dyDescent="0.25">
      <c r="A56" s="20" t="s">
        <v>73</v>
      </c>
      <c r="B56" s="16" t="str">
        <f>IF(B53="","",B53/4)</f>
        <v/>
      </c>
      <c r="C56" s="16" t="str">
        <f>IF(C53="","",C53/4)</f>
        <v/>
      </c>
    </row>
    <row r="57" spans="1:3" ht="20.100000000000001" customHeight="1" x14ac:dyDescent="0.2"/>
    <row r="58" spans="1:3" ht="20.100000000000001" customHeight="1" x14ac:dyDescent="0.2"/>
  </sheetData>
  <printOptions horizontalCentered="1"/>
  <pageMargins left="0.74803149606299213" right="0.74803149606299213" top="0.98425196850393704" bottom="0.98425196850393704" header="0.51181102362204722" footer="0.51181102362204722"/>
  <pageSetup scale="58"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Footnotes</vt:lpstr>
      <vt:lpstr>DirectSeeded</vt:lpstr>
      <vt:lpstr>UnderSeeded</vt:lpstr>
    </vt:vector>
  </TitlesOfParts>
  <Company>Government of Ontario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molenhuisjo</dc:creator>
  <cp:lastModifiedBy>Molenhuis, John (OMAFRA)</cp:lastModifiedBy>
  <cp:lastPrinted>2015-12-14T21:22:24Z</cp:lastPrinted>
  <dcterms:created xsi:type="dcterms:W3CDTF">2009-08-25T01:26:21Z</dcterms:created>
  <dcterms:modified xsi:type="dcterms:W3CDTF">2016-01-26T14:41:48Z</dcterms:modified>
</cp:coreProperties>
</file>